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500" activeTab="0"/>
  </bookViews>
  <sheets>
    <sheet name="на 01.09.2020" sheetId="1" r:id="rId1"/>
  </sheets>
  <definedNames>
    <definedName name="_xlnm._FilterDatabase" localSheetId="0" hidden="1">'на 01.09.2020'!$A$4:$M$320</definedName>
    <definedName name="_xlnm.Print_Titles" localSheetId="0">'на 01.09.2020'!$4:$5</definedName>
  </definedNames>
  <calcPr fullCalcOnLoad="1"/>
</workbook>
</file>

<file path=xl/sharedStrings.xml><?xml version="1.0" encoding="utf-8"?>
<sst xmlns="http://schemas.openxmlformats.org/spreadsheetml/2006/main" count="741" uniqueCount="158">
  <si>
    <t>Приложение 1 к пояснительной записке</t>
  </si>
  <si>
    <t>тыс. руб.</t>
  </si>
  <si>
    <t>Код адм.</t>
  </si>
  <si>
    <t>Главные администраторы доходов бюджета</t>
  </si>
  <si>
    <t>Код вида доходов</t>
  </si>
  <si>
    <t>Наименование вида доходов</t>
  </si>
  <si>
    <t>163</t>
  </si>
  <si>
    <t>Департамент имущественных отношений администрации города Перми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</si>
  <si>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</si>
  <si>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</si>
  <si>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</si>
  <si>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</si>
  <si>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</si>
  <si>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</si>
  <si>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</si>
  <si>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</si>
  <si>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</si>
  <si>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</si>
  <si>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</si>
  <si>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</si>
  <si>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</si>
  <si>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</si>
  <si>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</si>
  <si>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</si>
  <si>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</si>
  <si>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</si>
  <si>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</si>
  <si>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</si>
  <si>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</si>
  <si>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</si>
  <si>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</si>
  <si>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</si>
  <si>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ПО АДМИНИСТРАТОРУ (КУРАТОРУ):</t>
  </si>
  <si>
    <t>902</t>
  </si>
  <si>
    <t>Департамент финансов администрации города Перми</t>
  </si>
  <si>
    <t>2 02 10000 00 0000 150</t>
  </si>
  <si>
    <t>Дотации бюджетам бюджетной системы Российской Федерации</t>
  </si>
  <si>
    <t>Итого по администрируемым платежам:</t>
  </si>
  <si>
    <t>1 08 00000 00 0000 000</t>
  </si>
  <si>
    <t xml:space="preserve">Государственная пошлина </t>
  </si>
  <si>
    <t>1 09 00000 00 0000 000</t>
  </si>
  <si>
    <t>Задолженность  и перерасчеты по отмененным налогам, сборам и иным обязательным платежам</t>
  </si>
  <si>
    <t>Итого по курируемым платежам:</t>
  </si>
  <si>
    <t>903</t>
  </si>
  <si>
    <t>Департамент градостроительства и архитектуры  администрации города Перми</t>
  </si>
  <si>
    <t>910</t>
  </si>
  <si>
    <t>Управление записи актов гражданского состояния администрации города Перми</t>
  </si>
  <si>
    <t>2 02 30000 00 0000 150</t>
  </si>
  <si>
    <t>Субвенции бюджетам бюджетной системы Российской Федерации</t>
  </si>
  <si>
    <t>915</t>
  </si>
  <si>
    <t>Управление экологии и природопользованию администрации города Перми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</si>
  <si>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</si>
  <si>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</si>
  <si>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</si>
  <si>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</si>
  <si>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</si>
  <si>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</si>
  <si>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924</t>
  </si>
  <si>
    <t xml:space="preserve">Департамент культуры и молодежной политики администрации города Перми 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</si>
  <si>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</si>
  <si>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</si>
  <si>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930</t>
  </si>
  <si>
    <t>Департамент образования администрации города Перми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</si>
  <si>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</si>
  <si>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</si>
  <si>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</si>
  <si>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</si>
  <si>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931</t>
  </si>
  <si>
    <t>Администрация Ленинского района администрации города Перми</t>
  </si>
  <si>
    <t>932</t>
  </si>
  <si>
    <t>Администрация Свердловского района администрации города Перми</t>
  </si>
  <si>
    <t>933</t>
  </si>
  <si>
    <t>Администрация Мотовилихинского района администрации города Перми</t>
  </si>
  <si>
    <t>934</t>
  </si>
  <si>
    <t>Администрация Дзержинского района администрации города Перми</t>
  </si>
  <si>
    <t>935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</si>
  <si>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</si>
  <si>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</si>
  <si>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937</t>
  </si>
  <si>
    <t>Администрация Орджоникидзевского района администрации города Перми</t>
  </si>
  <si>
    <t>938</t>
  </si>
  <si>
    <t>Администрация поселка Новые Ляды города Перми</t>
  </si>
  <si>
    <t>940</t>
  </si>
  <si>
    <t>Департамент жилищно-коммунального хозяйства администрации города Перми</t>
  </si>
  <si>
    <t>Управление капитального строительства администрации города Перми</t>
  </si>
  <si>
    <t>944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</si>
  <si>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</si>
  <si>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</si>
  <si>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</si>
  <si>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</si>
  <si>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945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</si>
  <si>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</si>
  <si>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</si>
  <si>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</si>
  <si>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</si>
  <si>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951</t>
  </si>
  <si>
    <t>Департамент экономики и промышленной политики администрации города Перми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</si>
  <si>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</si>
  <si>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</si>
  <si>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</si>
  <si>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</si>
  <si>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</si>
  <si>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</si>
  <si>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</si>
  <si>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</si>
  <si>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Департамент социальной политики администрации города Перми</t>
  </si>
  <si>
    <t>964</t>
  </si>
  <si>
    <t>Департамент общественной безопасности администрации города Перми</t>
  </si>
  <si>
    <t>2 02 40000 00 0000 151</t>
  </si>
  <si>
    <t>975</t>
  </si>
  <si>
    <t>Администрация города Перми</t>
  </si>
  <si>
    <t>976</t>
  </si>
  <si>
    <t>Комитет по  физической культуре и спорту администрации города Перми</t>
  </si>
  <si>
    <t>Контрольно-счетная палата города Перми</t>
  </si>
  <si>
    <t>Избирательная комиссия города Перми</t>
  </si>
  <si>
    <t>Пермская городская Дума</t>
  </si>
  <si>
    <t>991</t>
  </si>
  <si>
    <t>Управление жилищных отношений администрации города Перми</t>
  </si>
  <si>
    <t>1 14 01040 04 0000 410</t>
  </si>
  <si>
    <t>Доходы от продажи квартир, находящихся в собственности городских округов</t>
  </si>
  <si>
    <t>992</t>
  </si>
  <si>
    <t>Департамент земельных отношений администрации города Перми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</si>
  <si>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</si>
  <si>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</si>
  <si>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</si>
  <si>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</si>
  <si>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</si>
  <si>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</si>
  <si>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</si>
  <si>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</si>
  <si>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</si>
  <si>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</si>
  <si>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</si>
  <si>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</si>
  <si>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</si>
  <si>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</si>
  <si>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</si>
  <si>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 xml:space="preserve">ВСЕГО ДОХОДОВ </t>
  </si>
  <si>
    <t>в том числе:</t>
  </si>
  <si>
    <t>НАЛОГОВЫЕ ДОХОДЫ</t>
  </si>
  <si>
    <t xml:space="preserve">НЕНАЛОГОВЫЕ ДОХОДЫ </t>
  </si>
  <si>
    <t>2 00 00000 00 0000 000</t>
  </si>
  <si>
    <t>ВСЕГО ДОХОДОВ</t>
  </si>
  <si>
    <t>Департамент транспорта администрации города Перми</t>
  </si>
  <si>
    <t>Департамент дорог и благоустройства администрации города Перми</t>
  </si>
  <si>
    <t>Контрольный департамент администрации города Перми</t>
  </si>
  <si>
    <t xml:space="preserve">Уточненный годовой план на 2020 год </t>
  </si>
  <si>
    <t>% факта 2020 г. к факту 2019 г.</t>
  </si>
  <si>
    <t>Оперативный анализ  поступления доходов за январь-август 2020 года</t>
  </si>
  <si>
    <t>План января-августа 2020 года</t>
  </si>
  <si>
    <t>Отклонение факта отчетного периода от плана января-августа 2020 года</t>
  </si>
  <si>
    <t xml:space="preserve">Оперативный анализ исполнения бюджета города Перми по доходам на 1 сентября 2020 года </t>
  </si>
  <si>
    <t>Факт на 01.09.2019 г. (в сопоставимых условиях с 2020 г.)</t>
  </si>
  <si>
    <t xml:space="preserve">Факт на 01.09.2020 г. </t>
  </si>
  <si>
    <t>% исполн. плана января-августа 2020 года</t>
  </si>
  <si>
    <t>% исполн. плана 2020 года</t>
  </si>
  <si>
    <t>Откл. факта 2020 г.от факта 2019 г.</t>
  </si>
  <si>
    <t>БЕЗВОЗМЕЗДНЫЕ ПОСТУПЛЕНИЯ (с учетом возврата остатков МБТ)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</si>
</sst>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_-* #,##0.00&quot;р.&quot;_-;\-* #,##0.00&quot;р.&quot;_-;_-* \-??&quot;р.&quot;_-;_-@_-"/>
  </numFmts>
  <fonts count="49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0" fillId="0" borderId="10" xfId="43" applyNumberFormat="1" applyFont="1" applyFill="1" applyBorder="1" applyAlignment="1" applyProtection="1">
      <alignment wrapText="1"/>
      <protection/>
    </xf>
    <xf numFmtId="4" fontId="0" fillId="0" borderId="0" xfId="0" applyNumberFormat="1" applyFont="1" applyFill="1" applyAlignment="1">
      <alignment wrapText="1"/>
    </xf>
    <xf numFmtId="164" fontId="7" fillId="0" borderId="10" xfId="0" applyNumberFormat="1" applyFont="1" applyFill="1" applyBorder="1" applyAlignment="1">
      <alignment wrapText="1"/>
    </xf>
    <xf numFmtId="164" fontId="7" fillId="0" borderId="10" xfId="43" applyNumberFormat="1" applyFont="1" applyFill="1" applyBorder="1" applyAlignment="1" applyProtection="1">
      <alignment wrapText="1"/>
      <protection/>
    </xf>
    <xf numFmtId="164" fontId="0" fillId="0" borderId="10" xfId="0" applyNumberFormat="1" applyFont="1" applyFill="1" applyBorder="1" applyAlignment="1">
      <alignment/>
    </xf>
    <xf numFmtId="164" fontId="0" fillId="0" borderId="10" xfId="43" applyNumberFormat="1" applyFont="1" applyFill="1" applyBorder="1" applyAlignment="1" applyProtection="1">
      <alignment wrapText="1"/>
      <protection/>
    </xf>
    <xf numFmtId="164" fontId="0" fillId="0" borderId="10" xfId="0" applyNumberFormat="1" applyFill="1" applyBorder="1" applyAlignment="1">
      <alignment/>
    </xf>
    <xf numFmtId="164" fontId="7" fillId="0" borderId="0" xfId="0" applyNumberFormat="1" applyFont="1" applyFill="1" applyBorder="1" applyAlignment="1">
      <alignment wrapText="1"/>
    </xf>
    <xf numFmtId="164" fontId="48" fillId="0" borderId="0" xfId="43" applyNumberFormat="1" applyFont="1" applyFill="1" applyBorder="1" applyAlignment="1" applyProtection="1">
      <alignment wrapText="1"/>
      <protection/>
    </xf>
    <xf numFmtId="164" fontId="11" fillId="0" borderId="0" xfId="0" applyNumberFormat="1" applyFont="1" applyFill="1" applyAlignment="1">
      <alignment horizontal="center" wrapText="1"/>
    </xf>
    <xf numFmtId="164" fontId="7" fillId="0" borderId="10" xfId="43" applyNumberFormat="1" applyFont="1" applyFill="1" applyBorder="1" applyAlignment="1" applyProtection="1">
      <alignment horizontal="right" wrapText="1"/>
      <protection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4" fontId="0" fillId="0" borderId="0" xfId="0" applyNumberFormat="1" applyFont="1" applyFill="1" applyAlignment="1">
      <alignment wrapText="1"/>
    </xf>
    <xf numFmtId="164" fontId="7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64" fontId="11" fillId="0" borderId="0" xfId="0" applyNumberFormat="1" applyFont="1" applyFill="1" applyAlignment="1">
      <alignment horizontal="left" vertical="center" wrapText="1"/>
    </xf>
    <xf numFmtId="164" fontId="0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4" fontId="0" fillId="0" borderId="0" xfId="43" applyNumberFormat="1" applyFont="1" applyFill="1" applyBorder="1" applyAlignment="1" applyProtection="1">
      <alignment horizontal="right" wrapText="1"/>
      <protection/>
    </xf>
    <xf numFmtId="4" fontId="0" fillId="0" borderId="1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43" fontId="7" fillId="0" borderId="0" xfId="61" applyFont="1" applyFill="1" applyAlignment="1">
      <alignment/>
    </xf>
    <xf numFmtId="43" fontId="7" fillId="0" borderId="0" xfId="0" applyNumberFormat="1" applyFont="1" applyFill="1" applyAlignment="1">
      <alignment/>
    </xf>
    <xf numFmtId="164" fontId="8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0" xfId="43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164" fontId="7" fillId="0" borderId="13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3" fontId="7" fillId="0" borderId="13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66" fontId="7" fillId="0" borderId="10" xfId="43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5"/>
  <sheetViews>
    <sheetView tabSelected="1" zoomScale="90" zoomScaleNormal="9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342" sqref="A342"/>
      <selection pane="bottomRight" activeCell="B3" sqref="B3"/>
    </sheetView>
  </sheetViews>
  <sheetFormatPr defaultColWidth="15.25390625" defaultRowHeight="15.75"/>
  <cols>
    <col min="1" max="1" width="6.125" style="24" customWidth="1"/>
    <col min="2" max="2" width="16.25390625" style="25" customWidth="1"/>
    <col min="3" max="3" width="18.375" style="43" hidden="1" customWidth="1"/>
    <col min="4" max="4" width="47.875" style="58" customWidth="1"/>
    <col min="5" max="5" width="14.125" style="26" customWidth="1"/>
    <col min="6" max="6" width="12.875" style="5" customWidth="1"/>
    <col min="7" max="7" width="12.00390625" style="5" customWidth="1"/>
    <col min="8" max="8" width="11.875" style="23" customWidth="1"/>
    <col min="9" max="9" width="13.50390625" style="23" customWidth="1"/>
    <col min="10" max="10" width="8.125" style="23" customWidth="1"/>
    <col min="11" max="11" width="8.125" style="17" customWidth="1"/>
    <col min="12" max="12" width="11.50390625" style="17" customWidth="1"/>
    <col min="13" max="13" width="12.75390625" style="17" customWidth="1"/>
    <col min="14" max="16384" width="15.25390625" style="1" customWidth="1"/>
  </cols>
  <sheetData>
    <row r="1" spans="1:13" ht="18.7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8.75">
      <c r="A2" s="92" t="s">
        <v>151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5.75" customHeight="1">
      <c r="A3" s="61"/>
      <c r="B3" s="61"/>
      <c r="C3" s="34"/>
      <c r="D3" s="34"/>
      <c r="E3" s="61"/>
      <c r="F3" s="61"/>
      <c r="G3" s="61"/>
      <c r="H3" s="61"/>
      <c r="I3" s="61"/>
      <c r="J3" s="61"/>
      <c r="K3" s="61"/>
      <c r="L3" s="61"/>
      <c r="M3" s="18" t="s">
        <v>1</v>
      </c>
    </row>
    <row r="4" spans="1:13" ht="39" customHeight="1">
      <c r="A4" s="76" t="s">
        <v>2</v>
      </c>
      <c r="B4" s="77" t="s">
        <v>3</v>
      </c>
      <c r="C4" s="77" t="s">
        <v>4</v>
      </c>
      <c r="D4" s="77" t="s">
        <v>5</v>
      </c>
      <c r="E4" s="78" t="s">
        <v>152</v>
      </c>
      <c r="F4" s="79" t="s">
        <v>146</v>
      </c>
      <c r="G4" s="81" t="s">
        <v>149</v>
      </c>
      <c r="H4" s="72" t="s">
        <v>153</v>
      </c>
      <c r="I4" s="72" t="s">
        <v>150</v>
      </c>
      <c r="J4" s="72" t="s">
        <v>154</v>
      </c>
      <c r="K4" s="72" t="s">
        <v>155</v>
      </c>
      <c r="L4" s="72" t="s">
        <v>156</v>
      </c>
      <c r="M4" s="72" t="s">
        <v>147</v>
      </c>
    </row>
    <row r="5" spans="1:13" ht="74.25" customHeight="1">
      <c r="A5" s="76"/>
      <c r="B5" s="77"/>
      <c r="C5" s="77"/>
      <c r="D5" s="77"/>
      <c r="E5" s="78"/>
      <c r="F5" s="79"/>
      <c r="G5" s="81"/>
      <c r="H5" s="72"/>
      <c r="I5" s="72"/>
      <c r="J5" s="72"/>
      <c r="K5" s="72"/>
      <c r="L5" s="72"/>
      <c r="M5" s="72"/>
    </row>
    <row r="6" spans="1:13" ht="94.5">
      <c r="A6" s="73" t="s">
        <v>6</v>
      </c>
      <c r="B6" s="73" t="s">
        <v>7</v>
      </c>
      <c r="C6" s="35" t="s">
        <v>8</v>
      </c>
      <c r="D6" s="44" t="s">
        <v>9</v>
      </c>
      <c r="E6" s="3">
        <v>1373.6</v>
      </c>
      <c r="F6" s="3">
        <v>0</v>
      </c>
      <c r="G6" s="3">
        <v>0</v>
      </c>
      <c r="H6" s="3">
        <v>0</v>
      </c>
      <c r="I6" s="3">
        <f>H6-G6</f>
        <v>0</v>
      </c>
      <c r="J6" s="3"/>
      <c r="K6" s="3"/>
      <c r="L6" s="3">
        <f aca="true" t="shared" si="0" ref="L6:L69">H6-E6</f>
        <v>-1373.6</v>
      </c>
      <c r="M6" s="3">
        <f aca="true" t="shared" si="1" ref="M6:M69">H6/E6*100</f>
        <v>0</v>
      </c>
    </row>
    <row r="7" spans="1:13" ht="63">
      <c r="A7" s="73"/>
      <c r="B7" s="73"/>
      <c r="C7" s="35" t="s">
        <v>10</v>
      </c>
      <c r="D7" s="44" t="s">
        <v>11</v>
      </c>
      <c r="E7" s="3">
        <v>52079.6</v>
      </c>
      <c r="F7" s="3">
        <v>82260.4</v>
      </c>
      <c r="G7" s="3">
        <v>52700</v>
      </c>
      <c r="H7" s="3">
        <v>35519.6</v>
      </c>
      <c r="I7" s="3">
        <f aca="true" t="shared" si="2" ref="I7:I72">H7-G7</f>
        <v>-17180.4</v>
      </c>
      <c r="J7" s="3">
        <f aca="true" t="shared" si="3" ref="J7:J69">H7/G7*100</f>
        <v>67.39962049335864</v>
      </c>
      <c r="K7" s="3">
        <f aca="true" t="shared" si="4" ref="K7:K70">H7/F7*100</f>
        <v>43.17946423795654</v>
      </c>
      <c r="L7" s="3">
        <f t="shared" si="0"/>
        <v>-16560</v>
      </c>
      <c r="M7" s="3">
        <f t="shared" si="1"/>
        <v>68.20252075668783</v>
      </c>
    </row>
    <row r="8" spans="1:13" ht="63" hidden="1">
      <c r="A8" s="73"/>
      <c r="B8" s="73"/>
      <c r="C8" s="35" t="s">
        <v>12</v>
      </c>
      <c r="D8" s="44" t="s">
        <v>13</v>
      </c>
      <c r="E8" s="3"/>
      <c r="F8" s="3"/>
      <c r="G8" s="3"/>
      <c r="H8" s="3">
        <v>0</v>
      </c>
      <c r="I8" s="3">
        <f t="shared" si="2"/>
        <v>0</v>
      </c>
      <c r="J8" s="3" t="e">
        <f t="shared" si="3"/>
        <v>#DIV/0!</v>
      </c>
      <c r="K8" s="3" t="e">
        <f t="shared" si="4"/>
        <v>#DIV/0!</v>
      </c>
      <c r="L8" s="3">
        <f t="shared" si="0"/>
        <v>0</v>
      </c>
      <c r="M8" s="3" t="e">
        <f t="shared" si="1"/>
        <v>#DIV/0!</v>
      </c>
    </row>
    <row r="9" spans="1:13" ht="94.5">
      <c r="A9" s="73"/>
      <c r="B9" s="73"/>
      <c r="C9" s="36" t="s">
        <v>14</v>
      </c>
      <c r="D9" s="45" t="s">
        <v>15</v>
      </c>
      <c r="E9" s="3">
        <v>366</v>
      </c>
      <c r="F9" s="3">
        <v>557</v>
      </c>
      <c r="G9" s="3">
        <v>371.3</v>
      </c>
      <c r="H9" s="3">
        <v>371</v>
      </c>
      <c r="I9" s="3">
        <f t="shared" si="2"/>
        <v>-0.30000000000001137</v>
      </c>
      <c r="J9" s="3">
        <f t="shared" si="3"/>
        <v>99.91920280096956</v>
      </c>
      <c r="K9" s="3">
        <f t="shared" si="4"/>
        <v>66.6068222621185</v>
      </c>
      <c r="L9" s="3">
        <f t="shared" si="0"/>
        <v>5</v>
      </c>
      <c r="M9" s="3">
        <f t="shared" si="1"/>
        <v>101.36612021857923</v>
      </c>
    </row>
    <row r="10" spans="1:13" ht="31.5">
      <c r="A10" s="73"/>
      <c r="B10" s="73"/>
      <c r="C10" s="35" t="s">
        <v>16</v>
      </c>
      <c r="D10" s="45" t="s">
        <v>17</v>
      </c>
      <c r="E10" s="3">
        <v>75.4</v>
      </c>
      <c r="F10" s="3">
        <v>0</v>
      </c>
      <c r="G10" s="3">
        <v>0</v>
      </c>
      <c r="H10" s="3">
        <v>329.2</v>
      </c>
      <c r="I10" s="3">
        <f t="shared" si="2"/>
        <v>329.2</v>
      </c>
      <c r="J10" s="3"/>
      <c r="K10" s="3"/>
      <c r="L10" s="3">
        <f t="shared" si="0"/>
        <v>253.79999999999998</v>
      </c>
      <c r="M10" s="3">
        <f t="shared" si="1"/>
        <v>436.604774535809</v>
      </c>
    </row>
    <row r="11" spans="1:13" ht="94.5">
      <c r="A11" s="73"/>
      <c r="B11" s="73"/>
      <c r="C11" s="35" t="s">
        <v>18</v>
      </c>
      <c r="D11" s="45" t="s">
        <v>19</v>
      </c>
      <c r="E11" s="3">
        <v>93047.8</v>
      </c>
      <c r="F11" s="3">
        <v>87220.5</v>
      </c>
      <c r="G11" s="3">
        <v>53536.6</v>
      </c>
      <c r="H11" s="3">
        <v>35482.7</v>
      </c>
      <c r="I11" s="3">
        <f t="shared" si="2"/>
        <v>-18053.9</v>
      </c>
      <c r="J11" s="3">
        <f t="shared" si="3"/>
        <v>66.27746252096696</v>
      </c>
      <c r="K11" s="3">
        <f t="shared" si="4"/>
        <v>40.68160581514667</v>
      </c>
      <c r="L11" s="3">
        <f t="shared" si="0"/>
        <v>-57565.100000000006</v>
      </c>
      <c r="M11" s="3">
        <f t="shared" si="1"/>
        <v>38.133840886082204</v>
      </c>
    </row>
    <row r="12" spans="1:13" ht="15.75">
      <c r="A12" s="73"/>
      <c r="B12" s="73"/>
      <c r="C12" s="35" t="s">
        <v>20</v>
      </c>
      <c r="D12" s="45" t="s">
        <v>21</v>
      </c>
      <c r="E12" s="3">
        <v>10123.3</v>
      </c>
      <c r="F12" s="3">
        <v>0</v>
      </c>
      <c r="G12" s="3">
        <v>0</v>
      </c>
      <c r="H12" s="3">
        <f>3.3+785.7</f>
        <v>789</v>
      </c>
      <c r="I12" s="3">
        <f t="shared" si="2"/>
        <v>789</v>
      </c>
      <c r="J12" s="3"/>
      <c r="K12" s="3"/>
      <c r="L12" s="3">
        <f t="shared" si="0"/>
        <v>-9334.3</v>
      </c>
      <c r="M12" s="3">
        <f t="shared" si="1"/>
        <v>7.793901198225875</v>
      </c>
    </row>
    <row r="13" spans="1:13" ht="15.75">
      <c r="A13" s="73"/>
      <c r="B13" s="73"/>
      <c r="C13" s="35" t="s">
        <v>22</v>
      </c>
      <c r="D13" s="45" t="s">
        <v>23</v>
      </c>
      <c r="E13" s="3">
        <v>-6.8</v>
      </c>
      <c r="F13" s="3">
        <v>0</v>
      </c>
      <c r="G13" s="3">
        <v>0</v>
      </c>
      <c r="H13" s="3">
        <v>0</v>
      </c>
      <c r="I13" s="3">
        <f t="shared" si="2"/>
        <v>0</v>
      </c>
      <c r="J13" s="3"/>
      <c r="K13" s="3"/>
      <c r="L13" s="3">
        <f t="shared" si="0"/>
        <v>6.8</v>
      </c>
      <c r="M13" s="3">
        <f t="shared" si="1"/>
        <v>0</v>
      </c>
    </row>
    <row r="14" spans="1:13" ht="15.75">
      <c r="A14" s="73"/>
      <c r="B14" s="73"/>
      <c r="C14" s="35" t="s">
        <v>24</v>
      </c>
      <c r="D14" s="45" t="s">
        <v>25</v>
      </c>
      <c r="E14" s="3">
        <v>807.7</v>
      </c>
      <c r="F14" s="3">
        <v>0</v>
      </c>
      <c r="G14" s="3">
        <v>0</v>
      </c>
      <c r="H14" s="3">
        <v>0</v>
      </c>
      <c r="I14" s="3">
        <f t="shared" si="2"/>
        <v>0</v>
      </c>
      <c r="J14" s="3"/>
      <c r="K14" s="3"/>
      <c r="L14" s="3">
        <f t="shared" si="0"/>
        <v>-807.7</v>
      </c>
      <c r="M14" s="3">
        <f t="shared" si="1"/>
        <v>0</v>
      </c>
    </row>
    <row r="15" spans="1:13" ht="31.5">
      <c r="A15" s="73"/>
      <c r="B15" s="73"/>
      <c r="C15" s="35" t="s">
        <v>26</v>
      </c>
      <c r="D15" s="45" t="s">
        <v>27</v>
      </c>
      <c r="E15" s="3">
        <v>0</v>
      </c>
      <c r="F15" s="3">
        <v>928515.9</v>
      </c>
      <c r="G15" s="3">
        <v>10697</v>
      </c>
      <c r="H15" s="3">
        <v>10697</v>
      </c>
      <c r="I15" s="3">
        <f t="shared" si="2"/>
        <v>0</v>
      </c>
      <c r="J15" s="3">
        <f t="shared" si="3"/>
        <v>100</v>
      </c>
      <c r="K15" s="3">
        <f t="shared" si="4"/>
        <v>1.1520535081844048</v>
      </c>
      <c r="L15" s="3">
        <f t="shared" si="0"/>
        <v>10697</v>
      </c>
      <c r="M15" s="3"/>
    </row>
    <row r="16" spans="1:13" ht="15.75" hidden="1">
      <c r="A16" s="73"/>
      <c r="B16" s="73"/>
      <c r="C16" s="35" t="s">
        <v>28</v>
      </c>
      <c r="D16" s="45" t="s">
        <v>29</v>
      </c>
      <c r="E16" s="3"/>
      <c r="F16" s="3">
        <v>0</v>
      </c>
      <c r="G16" s="3">
        <v>0</v>
      </c>
      <c r="H16" s="3">
        <v>0</v>
      </c>
      <c r="I16" s="3">
        <f t="shared" si="2"/>
        <v>0</v>
      </c>
      <c r="J16" s="3"/>
      <c r="K16" s="3"/>
      <c r="L16" s="3">
        <f t="shared" si="0"/>
        <v>0</v>
      </c>
      <c r="M16" s="3"/>
    </row>
    <row r="17" spans="1:13" ht="47.25" hidden="1">
      <c r="A17" s="73"/>
      <c r="B17" s="73"/>
      <c r="C17" s="35" t="s">
        <v>30</v>
      </c>
      <c r="D17" s="45" t="s">
        <v>31</v>
      </c>
      <c r="E17" s="3"/>
      <c r="F17" s="3"/>
      <c r="G17" s="3"/>
      <c r="H17" s="3">
        <v>0</v>
      </c>
      <c r="I17" s="3">
        <f t="shared" si="2"/>
        <v>0</v>
      </c>
      <c r="J17" s="3" t="e">
        <f t="shared" si="3"/>
        <v>#DIV/0!</v>
      </c>
      <c r="K17" s="3" t="e">
        <f t="shared" si="4"/>
        <v>#DIV/0!</v>
      </c>
      <c r="L17" s="3">
        <f t="shared" si="0"/>
        <v>0</v>
      </c>
      <c r="M17" s="3" t="e">
        <f t="shared" si="1"/>
        <v>#DIV/0!</v>
      </c>
    </row>
    <row r="18" spans="1:13" s="2" customFormat="1" ht="15.75">
      <c r="A18" s="73"/>
      <c r="B18" s="73"/>
      <c r="C18" s="62"/>
      <c r="D18" s="46" t="s">
        <v>32</v>
      </c>
      <c r="E18" s="6">
        <f>SUM(E6:E11,E12:E17)</f>
        <v>157866.6</v>
      </c>
      <c r="F18" s="6">
        <f>SUM(F6:F11,F12:F17)</f>
        <v>1098553.8</v>
      </c>
      <c r="G18" s="6">
        <f>SUM(G6:G11,G12:G17)</f>
        <v>117304.9</v>
      </c>
      <c r="H18" s="6">
        <f>SUM(H6:H11,H12:H17)</f>
        <v>83188.5</v>
      </c>
      <c r="I18" s="6">
        <f t="shared" si="2"/>
        <v>-34116.399999999994</v>
      </c>
      <c r="J18" s="6">
        <f t="shared" si="3"/>
        <v>70.91647492986228</v>
      </c>
      <c r="K18" s="6">
        <f t="shared" si="4"/>
        <v>7.572546742817693</v>
      </c>
      <c r="L18" s="6">
        <f t="shared" si="0"/>
        <v>-74678.1</v>
      </c>
      <c r="M18" s="6">
        <f t="shared" si="1"/>
        <v>52.69544032746635</v>
      </c>
    </row>
    <row r="19" spans="1:13" ht="31.5">
      <c r="A19" s="73" t="s">
        <v>33</v>
      </c>
      <c r="B19" s="73" t="s">
        <v>34</v>
      </c>
      <c r="C19" s="35" t="s">
        <v>16</v>
      </c>
      <c r="D19" s="45" t="s">
        <v>17</v>
      </c>
      <c r="E19" s="3">
        <v>399</v>
      </c>
      <c r="F19" s="3">
        <v>0</v>
      </c>
      <c r="G19" s="3">
        <v>0</v>
      </c>
      <c r="H19" s="3">
        <v>46.8</v>
      </c>
      <c r="I19" s="3">
        <f t="shared" si="2"/>
        <v>46.8</v>
      </c>
      <c r="J19" s="3"/>
      <c r="K19" s="3"/>
      <c r="L19" s="3">
        <f t="shared" si="0"/>
        <v>-352.2</v>
      </c>
      <c r="M19" s="3">
        <f t="shared" si="1"/>
        <v>11.729323308270676</v>
      </c>
    </row>
    <row r="20" spans="1:13" ht="15.75">
      <c r="A20" s="73"/>
      <c r="B20" s="73"/>
      <c r="C20" s="35" t="s">
        <v>20</v>
      </c>
      <c r="D20" s="45" t="s">
        <v>21</v>
      </c>
      <c r="E20" s="3">
        <v>57.3</v>
      </c>
      <c r="F20" s="3">
        <v>0</v>
      </c>
      <c r="G20" s="3">
        <v>0</v>
      </c>
      <c r="H20" s="3">
        <f>15+0.7+35.7</f>
        <v>51.400000000000006</v>
      </c>
      <c r="I20" s="3">
        <f t="shared" si="2"/>
        <v>51.400000000000006</v>
      </c>
      <c r="J20" s="3"/>
      <c r="K20" s="3"/>
      <c r="L20" s="3">
        <f t="shared" si="0"/>
        <v>-5.8999999999999915</v>
      </c>
      <c r="M20" s="3">
        <f t="shared" si="1"/>
        <v>89.70331588132636</v>
      </c>
    </row>
    <row r="21" spans="1:13" ht="15.75">
      <c r="A21" s="73"/>
      <c r="B21" s="73"/>
      <c r="C21" s="35" t="s">
        <v>22</v>
      </c>
      <c r="D21" s="45" t="s">
        <v>23</v>
      </c>
      <c r="E21" s="3">
        <v>0.6</v>
      </c>
      <c r="F21" s="3">
        <v>0</v>
      </c>
      <c r="G21" s="3">
        <v>0</v>
      </c>
      <c r="H21" s="3">
        <v>0</v>
      </c>
      <c r="I21" s="3">
        <f t="shared" si="2"/>
        <v>0</v>
      </c>
      <c r="J21" s="3"/>
      <c r="K21" s="3"/>
      <c r="L21" s="3">
        <f t="shared" si="0"/>
        <v>-0.6</v>
      </c>
      <c r="M21" s="3">
        <f t="shared" si="1"/>
        <v>0</v>
      </c>
    </row>
    <row r="22" spans="1:13" ht="15.75">
      <c r="A22" s="73"/>
      <c r="B22" s="73"/>
      <c r="C22" s="35" t="s">
        <v>35</v>
      </c>
      <c r="D22" s="47" t="s">
        <v>36</v>
      </c>
      <c r="E22" s="3">
        <v>350679.6</v>
      </c>
      <c r="F22" s="3">
        <v>1108359.9</v>
      </c>
      <c r="G22" s="3">
        <v>1108359.9</v>
      </c>
      <c r="H22" s="3">
        <v>1108359.9</v>
      </c>
      <c r="I22" s="3">
        <f t="shared" si="2"/>
        <v>0</v>
      </c>
      <c r="J22" s="3">
        <f t="shared" si="3"/>
        <v>100</v>
      </c>
      <c r="K22" s="3">
        <f t="shared" si="4"/>
        <v>100</v>
      </c>
      <c r="L22" s="3">
        <f t="shared" si="0"/>
        <v>757680.2999999999</v>
      </c>
      <c r="M22" s="3">
        <f t="shared" si="1"/>
        <v>316.06055784254346</v>
      </c>
    </row>
    <row r="23" spans="1:13" ht="31.5" hidden="1">
      <c r="A23" s="73"/>
      <c r="B23" s="73"/>
      <c r="C23" s="35" t="s">
        <v>26</v>
      </c>
      <c r="D23" s="45" t="s">
        <v>27</v>
      </c>
      <c r="E23" s="3"/>
      <c r="F23" s="3"/>
      <c r="G23" s="3"/>
      <c r="H23" s="3"/>
      <c r="I23" s="3">
        <f t="shared" si="2"/>
        <v>0</v>
      </c>
      <c r="J23" s="3" t="e">
        <f t="shared" si="3"/>
        <v>#DIV/0!</v>
      </c>
      <c r="K23" s="3" t="e">
        <f t="shared" si="4"/>
        <v>#DIV/0!</v>
      </c>
      <c r="L23" s="3">
        <f t="shared" si="0"/>
        <v>0</v>
      </c>
      <c r="M23" s="3" t="e">
        <f t="shared" si="1"/>
        <v>#DIV/0!</v>
      </c>
    </row>
    <row r="24" spans="1:13" ht="15.75" hidden="1">
      <c r="A24" s="73"/>
      <c r="B24" s="73"/>
      <c r="C24" s="35" t="s">
        <v>28</v>
      </c>
      <c r="D24" s="45" t="s">
        <v>29</v>
      </c>
      <c r="E24" s="3">
        <v>0</v>
      </c>
      <c r="F24" s="3">
        <v>0</v>
      </c>
      <c r="G24" s="3">
        <v>0</v>
      </c>
      <c r="H24" s="3"/>
      <c r="I24" s="3">
        <f>H24-G24</f>
        <v>0</v>
      </c>
      <c r="J24" s="3" t="e">
        <f t="shared" si="3"/>
        <v>#DIV/0!</v>
      </c>
      <c r="K24" s="3" t="e">
        <f t="shared" si="4"/>
        <v>#DIV/0!</v>
      </c>
      <c r="L24" s="3">
        <f t="shared" si="0"/>
        <v>0</v>
      </c>
      <c r="M24" s="3" t="e">
        <f t="shared" si="1"/>
        <v>#DIV/0!</v>
      </c>
    </row>
    <row r="25" spans="1:13" s="2" customFormat="1" ht="15.75">
      <c r="A25" s="73"/>
      <c r="B25" s="73"/>
      <c r="C25" s="37"/>
      <c r="D25" s="46" t="s">
        <v>37</v>
      </c>
      <c r="E25" s="6">
        <f>SUM(E19:E22)</f>
        <v>351136.5</v>
      </c>
      <c r="F25" s="6">
        <f>SUM(F19:F24)</f>
        <v>1108359.9</v>
      </c>
      <c r="G25" s="6">
        <f>SUM(G19:G23)</f>
        <v>1108359.9</v>
      </c>
      <c r="H25" s="6">
        <f>SUM(H19:H24)</f>
        <v>1108458.0999999999</v>
      </c>
      <c r="I25" s="6">
        <f t="shared" si="2"/>
        <v>98.19999999995343</v>
      </c>
      <c r="J25" s="6">
        <f t="shared" si="3"/>
        <v>100.00885993800388</v>
      </c>
      <c r="K25" s="6">
        <f t="shared" si="4"/>
        <v>100.00885993800388</v>
      </c>
      <c r="L25" s="6">
        <f t="shared" si="0"/>
        <v>757321.5999999999</v>
      </c>
      <c r="M25" s="6">
        <f t="shared" si="1"/>
        <v>315.67726510915264</v>
      </c>
    </row>
    <row r="26" spans="1:13" ht="15.75">
      <c r="A26" s="73"/>
      <c r="B26" s="73"/>
      <c r="C26" s="35" t="s">
        <v>38</v>
      </c>
      <c r="D26" s="45" t="s">
        <v>39</v>
      </c>
      <c r="E26" s="3">
        <v>287</v>
      </c>
      <c r="F26" s="3">
        <v>550.8</v>
      </c>
      <c r="G26" s="3">
        <v>345.9</v>
      </c>
      <c r="H26" s="3">
        <v>235.7</v>
      </c>
      <c r="I26" s="3">
        <f t="shared" si="2"/>
        <v>-110.19999999999999</v>
      </c>
      <c r="J26" s="3">
        <f t="shared" si="3"/>
        <v>68.14108123735184</v>
      </c>
      <c r="K26" s="3">
        <f t="shared" si="4"/>
        <v>42.7923021060276</v>
      </c>
      <c r="L26" s="3">
        <f t="shared" si="0"/>
        <v>-51.30000000000001</v>
      </c>
      <c r="M26" s="3">
        <f t="shared" si="1"/>
        <v>82.12543554006967</v>
      </c>
    </row>
    <row r="27" spans="1:13" ht="31.5">
      <c r="A27" s="73"/>
      <c r="B27" s="73"/>
      <c r="C27" s="35" t="s">
        <v>40</v>
      </c>
      <c r="D27" s="45" t="s">
        <v>41</v>
      </c>
      <c r="E27" s="3">
        <v>0</v>
      </c>
      <c r="F27" s="3">
        <v>0</v>
      </c>
      <c r="G27" s="3">
        <v>0</v>
      </c>
      <c r="H27" s="3">
        <v>-0.1</v>
      </c>
      <c r="I27" s="3">
        <f t="shared" si="2"/>
        <v>-0.1</v>
      </c>
      <c r="J27" s="3"/>
      <c r="K27" s="3"/>
      <c r="L27" s="3">
        <f t="shared" si="0"/>
        <v>-0.1</v>
      </c>
      <c r="M27" s="3"/>
    </row>
    <row r="28" spans="1:13" ht="15.75">
      <c r="A28" s="73"/>
      <c r="B28" s="73"/>
      <c r="C28" s="35" t="s">
        <v>20</v>
      </c>
      <c r="D28" s="45" t="s">
        <v>21</v>
      </c>
      <c r="E28" s="3">
        <v>20902.2</v>
      </c>
      <c r="F28" s="3">
        <v>88769.6</v>
      </c>
      <c r="G28" s="3">
        <v>51489.6</v>
      </c>
      <c r="H28" s="3">
        <f>7333.3+705.6+55952.2+401.6</f>
        <v>64392.7</v>
      </c>
      <c r="I28" s="3">
        <f t="shared" si="2"/>
        <v>12903.099999999999</v>
      </c>
      <c r="J28" s="3">
        <f t="shared" si="3"/>
        <v>125.0596236909978</v>
      </c>
      <c r="K28" s="3">
        <f t="shared" si="4"/>
        <v>72.53913501919575</v>
      </c>
      <c r="L28" s="3">
        <f t="shared" si="0"/>
        <v>43490.5</v>
      </c>
      <c r="M28" s="3">
        <f t="shared" si="1"/>
        <v>308.0666149974644</v>
      </c>
    </row>
    <row r="29" spans="1:13" s="2" customFormat="1" ht="15.75">
      <c r="A29" s="73"/>
      <c r="B29" s="73"/>
      <c r="C29" s="37"/>
      <c r="D29" s="46" t="s">
        <v>42</v>
      </c>
      <c r="E29" s="7">
        <f>SUM(E26:E28)</f>
        <v>21189.2</v>
      </c>
      <c r="F29" s="7">
        <f>SUM(F26:F28)</f>
        <v>89320.40000000001</v>
      </c>
      <c r="G29" s="7">
        <f>SUM(G26:G28)</f>
        <v>51835.5</v>
      </c>
      <c r="H29" s="7">
        <f>SUM(H26:H28)</f>
        <v>64628.299999999996</v>
      </c>
      <c r="I29" s="7">
        <f t="shared" si="2"/>
        <v>12792.799999999996</v>
      </c>
      <c r="J29" s="7">
        <f t="shared" si="3"/>
        <v>124.67961146318642</v>
      </c>
      <c r="K29" s="7">
        <f t="shared" si="4"/>
        <v>72.35558730144513</v>
      </c>
      <c r="L29" s="7">
        <f t="shared" si="0"/>
        <v>43439.09999999999</v>
      </c>
      <c r="M29" s="7">
        <f t="shared" si="1"/>
        <v>305.00585203783055</v>
      </c>
    </row>
    <row r="30" spans="1:13" s="2" customFormat="1" ht="15.75">
      <c r="A30" s="73"/>
      <c r="B30" s="73"/>
      <c r="C30" s="37"/>
      <c r="D30" s="46" t="s">
        <v>32</v>
      </c>
      <c r="E30" s="6">
        <f>E25+E29</f>
        <v>372325.7</v>
      </c>
      <c r="F30" s="6">
        <f>F25+F29</f>
        <v>1197680.2999999998</v>
      </c>
      <c r="G30" s="6">
        <f>G25+G29</f>
        <v>1160195.4</v>
      </c>
      <c r="H30" s="6">
        <f>H25+H29</f>
        <v>1173086.4</v>
      </c>
      <c r="I30" s="6">
        <f t="shared" si="2"/>
        <v>12891</v>
      </c>
      <c r="J30" s="6">
        <f t="shared" si="3"/>
        <v>101.11110593956845</v>
      </c>
      <c r="K30" s="6">
        <f t="shared" si="4"/>
        <v>97.94653882175403</v>
      </c>
      <c r="L30" s="6">
        <f t="shared" si="0"/>
        <v>800760.7</v>
      </c>
      <c r="M30" s="6">
        <f t="shared" si="1"/>
        <v>315.0699508521705</v>
      </c>
    </row>
    <row r="31" spans="1:13" ht="31.5">
      <c r="A31" s="73" t="s">
        <v>43</v>
      </c>
      <c r="B31" s="73" t="s">
        <v>44</v>
      </c>
      <c r="C31" s="35" t="s">
        <v>16</v>
      </c>
      <c r="D31" s="45" t="s">
        <v>17</v>
      </c>
      <c r="E31" s="4">
        <v>4374.9</v>
      </c>
      <c r="F31" s="4">
        <v>4172.9</v>
      </c>
      <c r="G31" s="4">
        <v>3853.4</v>
      </c>
      <c r="H31" s="4">
        <v>3521.4</v>
      </c>
      <c r="I31" s="4">
        <f t="shared" si="2"/>
        <v>-332</v>
      </c>
      <c r="J31" s="4">
        <f t="shared" si="3"/>
        <v>91.38423210671095</v>
      </c>
      <c r="K31" s="4">
        <f t="shared" si="4"/>
        <v>84.38735651465409</v>
      </c>
      <c r="L31" s="4">
        <f t="shared" si="0"/>
        <v>-853.4999999999995</v>
      </c>
      <c r="M31" s="4">
        <f t="shared" si="1"/>
        <v>80.49098265103203</v>
      </c>
    </row>
    <row r="32" spans="1:13" ht="15.75">
      <c r="A32" s="73"/>
      <c r="B32" s="73"/>
      <c r="C32" s="35" t="s">
        <v>20</v>
      </c>
      <c r="D32" s="45" t="s">
        <v>21</v>
      </c>
      <c r="E32" s="3">
        <v>400.1</v>
      </c>
      <c r="F32" s="3">
        <v>0</v>
      </c>
      <c r="G32" s="3">
        <v>0</v>
      </c>
      <c r="H32" s="8">
        <v>36</v>
      </c>
      <c r="I32" s="8">
        <f t="shared" si="2"/>
        <v>36</v>
      </c>
      <c r="J32" s="4"/>
      <c r="K32" s="4"/>
      <c r="L32" s="4">
        <f t="shared" si="0"/>
        <v>-364.1</v>
      </c>
      <c r="M32" s="4">
        <f t="shared" si="1"/>
        <v>8.997750562359409</v>
      </c>
    </row>
    <row r="33" spans="1:13" ht="15.75">
      <c r="A33" s="73"/>
      <c r="B33" s="73"/>
      <c r="C33" s="35" t="s">
        <v>22</v>
      </c>
      <c r="D33" s="45" t="s">
        <v>23</v>
      </c>
      <c r="E33" s="4">
        <v>0.5</v>
      </c>
      <c r="F33" s="4">
        <v>0</v>
      </c>
      <c r="G33" s="4">
        <v>0</v>
      </c>
      <c r="H33" s="4">
        <v>0.2</v>
      </c>
      <c r="I33" s="4">
        <f t="shared" si="2"/>
        <v>0.2</v>
      </c>
      <c r="J33" s="4"/>
      <c r="K33" s="4"/>
      <c r="L33" s="4">
        <f t="shared" si="0"/>
        <v>-0.3</v>
      </c>
      <c r="M33" s="4">
        <f t="shared" si="1"/>
        <v>40</v>
      </c>
    </row>
    <row r="34" spans="1:13" ht="15.75" hidden="1">
      <c r="A34" s="73"/>
      <c r="B34" s="73"/>
      <c r="C34" s="35" t="s">
        <v>24</v>
      </c>
      <c r="D34" s="45" t="s">
        <v>25</v>
      </c>
      <c r="E34" s="4"/>
      <c r="F34" s="4"/>
      <c r="G34" s="4"/>
      <c r="H34" s="4">
        <v>0</v>
      </c>
      <c r="I34" s="4">
        <f t="shared" si="2"/>
        <v>0</v>
      </c>
      <c r="J34" s="4"/>
      <c r="K34" s="4"/>
      <c r="L34" s="4">
        <f t="shared" si="0"/>
        <v>0</v>
      </c>
      <c r="M34" s="4" t="e">
        <f t="shared" si="1"/>
        <v>#DIV/0!</v>
      </c>
    </row>
    <row r="35" spans="1:13" ht="31.5">
      <c r="A35" s="73"/>
      <c r="B35" s="73"/>
      <c r="C35" s="35" t="s">
        <v>55</v>
      </c>
      <c r="D35" s="45" t="s">
        <v>56</v>
      </c>
      <c r="E35" s="3">
        <v>0</v>
      </c>
      <c r="F35" s="3">
        <v>0</v>
      </c>
      <c r="G35" s="3">
        <v>0</v>
      </c>
      <c r="H35" s="3">
        <v>61373.9</v>
      </c>
      <c r="I35" s="4">
        <f t="shared" si="2"/>
        <v>61373.9</v>
      </c>
      <c r="J35" s="4"/>
      <c r="K35" s="4"/>
      <c r="L35" s="4">
        <f t="shared" si="0"/>
        <v>61373.9</v>
      </c>
      <c r="M35" s="4"/>
    </row>
    <row r="36" spans="1:13" s="2" customFormat="1" ht="15.75">
      <c r="A36" s="73"/>
      <c r="B36" s="73"/>
      <c r="C36" s="62"/>
      <c r="D36" s="46" t="s">
        <v>37</v>
      </c>
      <c r="E36" s="6">
        <f>SUM(E31:E34)</f>
        <v>4775.5</v>
      </c>
      <c r="F36" s="6">
        <f>SUM(F31:F34)</f>
        <v>4172.9</v>
      </c>
      <c r="G36" s="6">
        <f>SUM(G31:G34)</f>
        <v>3853.4</v>
      </c>
      <c r="H36" s="6">
        <f>SUM(H31:H35)</f>
        <v>64931.5</v>
      </c>
      <c r="I36" s="6">
        <f t="shared" si="2"/>
        <v>61078.1</v>
      </c>
      <c r="J36" s="6">
        <f t="shared" si="3"/>
        <v>1685.0443763948722</v>
      </c>
      <c r="K36" s="6">
        <f t="shared" si="4"/>
        <v>1556.0281818399676</v>
      </c>
      <c r="L36" s="6">
        <f t="shared" si="0"/>
        <v>60156</v>
      </c>
      <c r="M36" s="6">
        <f t="shared" si="1"/>
        <v>1359.6796147000314</v>
      </c>
    </row>
    <row r="37" spans="1:13" ht="15.75">
      <c r="A37" s="73"/>
      <c r="B37" s="73"/>
      <c r="C37" s="35" t="s">
        <v>20</v>
      </c>
      <c r="D37" s="45" t="s">
        <v>21</v>
      </c>
      <c r="E37" s="3">
        <v>4123.1</v>
      </c>
      <c r="F37" s="3">
        <v>0</v>
      </c>
      <c r="G37" s="3">
        <v>0</v>
      </c>
      <c r="H37" s="3">
        <v>0</v>
      </c>
      <c r="I37" s="3">
        <f t="shared" si="2"/>
        <v>0</v>
      </c>
      <c r="J37" s="6"/>
      <c r="K37" s="6"/>
      <c r="L37" s="3">
        <f t="shared" si="0"/>
        <v>-4123.1</v>
      </c>
      <c r="M37" s="3">
        <f t="shared" si="1"/>
        <v>0</v>
      </c>
    </row>
    <row r="38" spans="1:13" s="2" customFormat="1" ht="15.75">
      <c r="A38" s="73"/>
      <c r="B38" s="73"/>
      <c r="C38" s="62"/>
      <c r="D38" s="46" t="s">
        <v>42</v>
      </c>
      <c r="E38" s="6">
        <f>SUM(E37)</f>
        <v>4123.1</v>
      </c>
      <c r="F38" s="6">
        <f>SUM(F37)</f>
        <v>0</v>
      </c>
      <c r="G38" s="6">
        <f>SUM(G37)</f>
        <v>0</v>
      </c>
      <c r="H38" s="6">
        <f>SUM(H37)</f>
        <v>0</v>
      </c>
      <c r="I38" s="6">
        <f t="shared" si="2"/>
        <v>0</v>
      </c>
      <c r="J38" s="6"/>
      <c r="K38" s="6"/>
      <c r="L38" s="6">
        <f t="shared" si="0"/>
        <v>-4123.1</v>
      </c>
      <c r="M38" s="6">
        <f t="shared" si="1"/>
        <v>0</v>
      </c>
    </row>
    <row r="39" spans="1:13" s="2" customFormat="1" ht="15.75">
      <c r="A39" s="73"/>
      <c r="B39" s="73"/>
      <c r="C39" s="62"/>
      <c r="D39" s="46" t="s">
        <v>32</v>
      </c>
      <c r="E39" s="6">
        <f>E36+E38</f>
        <v>8898.6</v>
      </c>
      <c r="F39" s="6">
        <f>F36+F38</f>
        <v>4172.9</v>
      </c>
      <c r="G39" s="6">
        <f>G36+G38</f>
        <v>3853.4</v>
      </c>
      <c r="H39" s="6">
        <f>H36+H38</f>
        <v>64931.5</v>
      </c>
      <c r="I39" s="6">
        <f t="shared" si="2"/>
        <v>61078.1</v>
      </c>
      <c r="J39" s="6">
        <f t="shared" si="3"/>
        <v>1685.0443763948722</v>
      </c>
      <c r="K39" s="6">
        <f t="shared" si="4"/>
        <v>1556.0281818399676</v>
      </c>
      <c r="L39" s="6">
        <f t="shared" si="0"/>
        <v>56032.9</v>
      </c>
      <c r="M39" s="6">
        <f t="shared" si="1"/>
        <v>729.6821971995595</v>
      </c>
    </row>
    <row r="40" spans="1:13" s="2" customFormat="1" ht="31.5">
      <c r="A40" s="73" t="s">
        <v>45</v>
      </c>
      <c r="B40" s="73" t="s">
        <v>46</v>
      </c>
      <c r="C40" s="35" t="s">
        <v>16</v>
      </c>
      <c r="D40" s="45" t="s">
        <v>17</v>
      </c>
      <c r="E40" s="3">
        <v>50.1</v>
      </c>
      <c r="F40" s="3">
        <v>0</v>
      </c>
      <c r="G40" s="3">
        <v>0</v>
      </c>
      <c r="H40" s="3">
        <v>43</v>
      </c>
      <c r="I40" s="3">
        <f t="shared" si="2"/>
        <v>43</v>
      </c>
      <c r="J40" s="6"/>
      <c r="K40" s="6"/>
      <c r="L40" s="3">
        <f t="shared" si="0"/>
        <v>-7.100000000000001</v>
      </c>
      <c r="M40" s="3">
        <f t="shared" si="1"/>
        <v>85.82834331337325</v>
      </c>
    </row>
    <row r="41" spans="1:13" s="2" customFormat="1" ht="15.75" hidden="1">
      <c r="A41" s="73"/>
      <c r="B41" s="73"/>
      <c r="C41" s="35" t="s">
        <v>20</v>
      </c>
      <c r="D41" s="45" t="s">
        <v>21</v>
      </c>
      <c r="E41" s="3"/>
      <c r="F41" s="6"/>
      <c r="G41" s="6"/>
      <c r="H41" s="3">
        <v>0</v>
      </c>
      <c r="I41" s="3">
        <f t="shared" si="2"/>
        <v>0</v>
      </c>
      <c r="J41" s="6" t="e">
        <f t="shared" si="3"/>
        <v>#DIV/0!</v>
      </c>
      <c r="K41" s="6" t="e">
        <f t="shared" si="4"/>
        <v>#DIV/0!</v>
      </c>
      <c r="L41" s="3">
        <f t="shared" si="0"/>
        <v>0</v>
      </c>
      <c r="M41" s="3" t="e">
        <f t="shared" si="1"/>
        <v>#DIV/0!</v>
      </c>
    </row>
    <row r="42" spans="1:13" s="2" customFormat="1" ht="31.5">
      <c r="A42" s="73"/>
      <c r="B42" s="73"/>
      <c r="C42" s="35" t="s">
        <v>47</v>
      </c>
      <c r="D42" s="45" t="s">
        <v>48</v>
      </c>
      <c r="E42" s="3">
        <v>33200</v>
      </c>
      <c r="F42" s="3">
        <v>52887.4</v>
      </c>
      <c r="G42" s="3">
        <f>24389.5+7008.7</f>
        <v>31398.2</v>
      </c>
      <c r="H42" s="3">
        <v>31398.3</v>
      </c>
      <c r="I42" s="3">
        <f t="shared" si="2"/>
        <v>0.09999999999854481</v>
      </c>
      <c r="J42" s="3">
        <f t="shared" si="3"/>
        <v>100.00031848959495</v>
      </c>
      <c r="K42" s="3">
        <f t="shared" si="4"/>
        <v>59.36820490324727</v>
      </c>
      <c r="L42" s="3">
        <f t="shared" si="0"/>
        <v>-1801.7000000000007</v>
      </c>
      <c r="M42" s="3">
        <f t="shared" si="1"/>
        <v>94.57319277108434</v>
      </c>
    </row>
    <row r="43" spans="1:13" s="2" customFormat="1" ht="47.25">
      <c r="A43" s="73"/>
      <c r="B43" s="73"/>
      <c r="C43" s="35" t="s">
        <v>30</v>
      </c>
      <c r="D43" s="45" t="s">
        <v>31</v>
      </c>
      <c r="E43" s="3">
        <v>-74.4</v>
      </c>
      <c r="F43" s="3">
        <v>0</v>
      </c>
      <c r="G43" s="3">
        <v>0</v>
      </c>
      <c r="H43" s="3">
        <v>-58.1</v>
      </c>
      <c r="I43" s="3">
        <f t="shared" si="2"/>
        <v>-58.1</v>
      </c>
      <c r="J43" s="6"/>
      <c r="K43" s="6"/>
      <c r="L43" s="3">
        <f t="shared" si="0"/>
        <v>16.300000000000004</v>
      </c>
      <c r="M43" s="3">
        <f t="shared" si="1"/>
        <v>78.09139784946237</v>
      </c>
    </row>
    <row r="44" spans="1:13" s="2" customFormat="1" ht="15.75">
      <c r="A44" s="73"/>
      <c r="B44" s="73"/>
      <c r="C44" s="62"/>
      <c r="D44" s="46" t="s">
        <v>32</v>
      </c>
      <c r="E44" s="6">
        <f>SUM(E40:E43)</f>
        <v>33175.7</v>
      </c>
      <c r="F44" s="6">
        <f>SUM(F40:F43)</f>
        <v>52887.4</v>
      </c>
      <c r="G44" s="6">
        <f>SUM(G40:G43)</f>
        <v>31398.2</v>
      </c>
      <c r="H44" s="6">
        <f>SUM(H40:H43)</f>
        <v>31383.2</v>
      </c>
      <c r="I44" s="6">
        <f t="shared" si="2"/>
        <v>-15</v>
      </c>
      <c r="J44" s="6">
        <f t="shared" si="3"/>
        <v>99.95222656075826</v>
      </c>
      <c r="K44" s="6">
        <f t="shared" si="4"/>
        <v>59.33965367932627</v>
      </c>
      <c r="L44" s="6">
        <f t="shared" si="0"/>
        <v>-1792.4999999999964</v>
      </c>
      <c r="M44" s="6">
        <f t="shared" si="1"/>
        <v>94.59694897168713</v>
      </c>
    </row>
    <row r="45" spans="1:13" s="2" customFormat="1" ht="15.75">
      <c r="A45" s="73" t="s">
        <v>49</v>
      </c>
      <c r="B45" s="73" t="s">
        <v>50</v>
      </c>
      <c r="C45" s="35" t="s">
        <v>51</v>
      </c>
      <c r="D45" s="44" t="s">
        <v>52</v>
      </c>
      <c r="E45" s="3">
        <v>40.5</v>
      </c>
      <c r="F45" s="3">
        <v>0</v>
      </c>
      <c r="G45" s="3">
        <v>0</v>
      </c>
      <c r="H45" s="3">
        <v>0</v>
      </c>
      <c r="I45" s="3">
        <f t="shared" si="2"/>
        <v>0</v>
      </c>
      <c r="J45" s="6"/>
      <c r="K45" s="6"/>
      <c r="L45" s="3">
        <f t="shared" si="0"/>
        <v>-40.5</v>
      </c>
      <c r="M45" s="3">
        <f t="shared" si="1"/>
        <v>0</v>
      </c>
    </row>
    <row r="46" spans="1:13" s="2" customFormat="1" ht="15.75">
      <c r="A46" s="73"/>
      <c r="B46" s="73"/>
      <c r="C46" s="35" t="s">
        <v>53</v>
      </c>
      <c r="D46" s="45" t="s">
        <v>54</v>
      </c>
      <c r="E46" s="3">
        <v>1299.2</v>
      </c>
      <c r="F46" s="3">
        <v>1019.1</v>
      </c>
      <c r="G46" s="3">
        <v>684.3</v>
      </c>
      <c r="H46" s="3">
        <v>398.3</v>
      </c>
      <c r="I46" s="3">
        <f t="shared" si="2"/>
        <v>-285.99999999999994</v>
      </c>
      <c r="J46" s="3">
        <f t="shared" si="3"/>
        <v>58.20546543913488</v>
      </c>
      <c r="K46" s="3">
        <f t="shared" si="4"/>
        <v>39.08350505347856</v>
      </c>
      <c r="L46" s="3">
        <f t="shared" si="0"/>
        <v>-900.9000000000001</v>
      </c>
      <c r="M46" s="3">
        <f t="shared" si="1"/>
        <v>30.657327586206897</v>
      </c>
    </row>
    <row r="47" spans="1:13" ht="31.5">
      <c r="A47" s="73"/>
      <c r="B47" s="73"/>
      <c r="C47" s="35" t="s">
        <v>16</v>
      </c>
      <c r="D47" s="45" t="s">
        <v>17</v>
      </c>
      <c r="E47" s="3">
        <v>25.9</v>
      </c>
      <c r="F47" s="3">
        <v>0</v>
      </c>
      <c r="G47" s="3">
        <v>0</v>
      </c>
      <c r="H47" s="3">
        <v>448.1</v>
      </c>
      <c r="I47" s="3">
        <f t="shared" si="2"/>
        <v>448.1</v>
      </c>
      <c r="J47" s="3"/>
      <c r="K47" s="3"/>
      <c r="L47" s="3">
        <f t="shared" si="0"/>
        <v>422.20000000000005</v>
      </c>
      <c r="M47" s="3">
        <f t="shared" si="1"/>
        <v>1730.1158301158302</v>
      </c>
    </row>
    <row r="48" spans="1:13" ht="110.25">
      <c r="A48" s="73"/>
      <c r="B48" s="73"/>
      <c r="C48" s="36" t="s">
        <v>65</v>
      </c>
      <c r="D48" s="44" t="s">
        <v>66</v>
      </c>
      <c r="E48" s="3">
        <v>0</v>
      </c>
      <c r="F48" s="3">
        <v>0</v>
      </c>
      <c r="G48" s="3">
        <v>0</v>
      </c>
      <c r="H48" s="3">
        <v>20.7</v>
      </c>
      <c r="I48" s="3">
        <f>H48-G48</f>
        <v>20.7</v>
      </c>
      <c r="J48" s="3"/>
      <c r="K48" s="3"/>
      <c r="L48" s="3">
        <f t="shared" si="0"/>
        <v>20.7</v>
      </c>
      <c r="M48" s="3"/>
    </row>
    <row r="49" spans="1:13" ht="15.75">
      <c r="A49" s="73"/>
      <c r="B49" s="73"/>
      <c r="C49" s="35" t="s">
        <v>20</v>
      </c>
      <c r="D49" s="45" t="s">
        <v>21</v>
      </c>
      <c r="E49" s="3">
        <v>2729.2</v>
      </c>
      <c r="F49" s="3">
        <v>138.8</v>
      </c>
      <c r="G49" s="3">
        <v>92</v>
      </c>
      <c r="H49" s="3">
        <f>3+80.7+387.4+4460.7</f>
        <v>4931.8</v>
      </c>
      <c r="I49" s="3">
        <f t="shared" si="2"/>
        <v>4839.8</v>
      </c>
      <c r="J49" s="3">
        <f t="shared" si="3"/>
        <v>5360.652173913044</v>
      </c>
      <c r="K49" s="3">
        <f t="shared" si="4"/>
        <v>3553.170028818444</v>
      </c>
      <c r="L49" s="3">
        <f t="shared" si="0"/>
        <v>2202.6000000000004</v>
      </c>
      <c r="M49" s="3">
        <f t="shared" si="1"/>
        <v>180.70496848893453</v>
      </c>
    </row>
    <row r="50" spans="1:13" ht="15.75">
      <c r="A50" s="73"/>
      <c r="B50" s="73"/>
      <c r="C50" s="35" t="s">
        <v>22</v>
      </c>
      <c r="D50" s="45" t="s">
        <v>23</v>
      </c>
      <c r="E50" s="3">
        <v>0</v>
      </c>
      <c r="F50" s="3">
        <v>0</v>
      </c>
      <c r="G50" s="3">
        <v>0</v>
      </c>
      <c r="H50" s="3">
        <v>0.5</v>
      </c>
      <c r="I50" s="3">
        <f t="shared" si="2"/>
        <v>0.5</v>
      </c>
      <c r="J50" s="3"/>
      <c r="K50" s="3"/>
      <c r="L50" s="3">
        <f t="shared" si="0"/>
        <v>0.5</v>
      </c>
      <c r="M50" s="3"/>
    </row>
    <row r="51" spans="1:13" ht="15.75">
      <c r="A51" s="73"/>
      <c r="B51" s="73"/>
      <c r="C51" s="35" t="s">
        <v>24</v>
      </c>
      <c r="D51" s="45" t="s">
        <v>25</v>
      </c>
      <c r="E51" s="3">
        <v>11070.6</v>
      </c>
      <c r="F51" s="3">
        <v>12336</v>
      </c>
      <c r="G51" s="3">
        <v>9258.8</v>
      </c>
      <c r="H51" s="3">
        <v>50441.8</v>
      </c>
      <c r="I51" s="3">
        <f t="shared" si="2"/>
        <v>41183</v>
      </c>
      <c r="J51" s="3">
        <f t="shared" si="3"/>
        <v>544.7984620037155</v>
      </c>
      <c r="K51" s="3">
        <f t="shared" si="4"/>
        <v>408.89915693904027</v>
      </c>
      <c r="L51" s="3">
        <f t="shared" si="0"/>
        <v>39371.200000000004</v>
      </c>
      <c r="M51" s="3">
        <f t="shared" si="1"/>
        <v>455.6374541578596</v>
      </c>
    </row>
    <row r="52" spans="1:13" ht="31.5">
      <c r="A52" s="73"/>
      <c r="B52" s="73"/>
      <c r="C52" s="35" t="s">
        <v>26</v>
      </c>
      <c r="D52" s="45" t="s">
        <v>27</v>
      </c>
      <c r="E52" s="3">
        <v>245.7</v>
      </c>
      <c r="F52" s="3">
        <v>1062.5</v>
      </c>
      <c r="G52" s="3">
        <v>0</v>
      </c>
      <c r="H52" s="3">
        <v>0</v>
      </c>
      <c r="I52" s="3">
        <f t="shared" si="2"/>
        <v>0</v>
      </c>
      <c r="J52" s="3"/>
      <c r="K52" s="3">
        <f t="shared" si="4"/>
        <v>0</v>
      </c>
      <c r="L52" s="3">
        <f t="shared" si="0"/>
        <v>-245.7</v>
      </c>
      <c r="M52" s="3">
        <f t="shared" si="1"/>
        <v>0</v>
      </c>
    </row>
    <row r="53" spans="1:13" ht="31.5">
      <c r="A53" s="73"/>
      <c r="B53" s="73"/>
      <c r="C53" s="35" t="s">
        <v>47</v>
      </c>
      <c r="D53" s="45" t="s">
        <v>48</v>
      </c>
      <c r="E53" s="3">
        <v>12095.1</v>
      </c>
      <c r="F53" s="3">
        <v>20487.9</v>
      </c>
      <c r="G53" s="3">
        <v>20487.9</v>
      </c>
      <c r="H53" s="3">
        <v>20487.9</v>
      </c>
      <c r="I53" s="3">
        <f t="shared" si="2"/>
        <v>0</v>
      </c>
      <c r="J53" s="3">
        <f t="shared" si="3"/>
        <v>100</v>
      </c>
      <c r="K53" s="3">
        <f t="shared" si="4"/>
        <v>100</v>
      </c>
      <c r="L53" s="3">
        <f t="shared" si="0"/>
        <v>8392.800000000001</v>
      </c>
      <c r="M53" s="3">
        <f t="shared" si="1"/>
        <v>169.39008358756854</v>
      </c>
    </row>
    <row r="54" spans="1:13" ht="31.5">
      <c r="A54" s="73"/>
      <c r="B54" s="73"/>
      <c r="C54" s="35" t="s">
        <v>55</v>
      </c>
      <c r="D54" s="45" t="s">
        <v>56</v>
      </c>
      <c r="E54" s="3">
        <v>349.4</v>
      </c>
      <c r="F54" s="3">
        <v>0</v>
      </c>
      <c r="G54" s="3">
        <v>0</v>
      </c>
      <c r="H54" s="3">
        <v>0</v>
      </c>
      <c r="I54" s="3">
        <f t="shared" si="2"/>
        <v>0</v>
      </c>
      <c r="J54" s="3"/>
      <c r="K54" s="3"/>
      <c r="L54" s="3">
        <f t="shared" si="0"/>
        <v>-349.4</v>
      </c>
      <c r="M54" s="3">
        <f t="shared" si="1"/>
        <v>0</v>
      </c>
    </row>
    <row r="55" spans="1:13" ht="47.25">
      <c r="A55" s="73"/>
      <c r="B55" s="73"/>
      <c r="C55" s="35" t="s">
        <v>30</v>
      </c>
      <c r="D55" s="45" t="s">
        <v>31</v>
      </c>
      <c r="E55" s="3">
        <v>0</v>
      </c>
      <c r="F55" s="3">
        <v>0</v>
      </c>
      <c r="G55" s="3">
        <v>0</v>
      </c>
      <c r="H55" s="3">
        <v>-468.7</v>
      </c>
      <c r="I55" s="3">
        <f t="shared" si="2"/>
        <v>-468.7</v>
      </c>
      <c r="J55" s="3"/>
      <c r="K55" s="3"/>
      <c r="L55" s="3">
        <f t="shared" si="0"/>
        <v>-468.7</v>
      </c>
      <c r="M55" s="3"/>
    </row>
    <row r="56" spans="1:13" s="2" customFormat="1" ht="15.75">
      <c r="A56" s="73"/>
      <c r="B56" s="73"/>
      <c r="C56" s="37"/>
      <c r="D56" s="46" t="s">
        <v>37</v>
      </c>
      <c r="E56" s="6">
        <f>SUM(E45:E55)</f>
        <v>27855.600000000006</v>
      </c>
      <c r="F56" s="6">
        <f>SUM(F45:F55)</f>
        <v>35044.3</v>
      </c>
      <c r="G56" s="6">
        <f>SUM(G45:G55)</f>
        <v>30523</v>
      </c>
      <c r="H56" s="6">
        <f>SUM(H45:H55)</f>
        <v>76260.40000000001</v>
      </c>
      <c r="I56" s="6">
        <f t="shared" si="2"/>
        <v>45737.40000000001</v>
      </c>
      <c r="J56" s="6">
        <f t="shared" si="3"/>
        <v>249.84569013530785</v>
      </c>
      <c r="K56" s="6">
        <f t="shared" si="4"/>
        <v>217.61142325570776</v>
      </c>
      <c r="L56" s="6">
        <f t="shared" si="0"/>
        <v>48404.8</v>
      </c>
      <c r="M56" s="6">
        <f t="shared" si="1"/>
        <v>273.7704447220666</v>
      </c>
    </row>
    <row r="57" spans="1:13" ht="15.75">
      <c r="A57" s="73"/>
      <c r="B57" s="73"/>
      <c r="C57" s="35" t="s">
        <v>53</v>
      </c>
      <c r="D57" s="45" t="s">
        <v>54</v>
      </c>
      <c r="E57" s="3">
        <v>4723.6</v>
      </c>
      <c r="F57" s="3">
        <v>7080</v>
      </c>
      <c r="G57" s="3">
        <v>5310</v>
      </c>
      <c r="H57" s="3">
        <v>2529.1</v>
      </c>
      <c r="I57" s="3">
        <f t="shared" si="2"/>
        <v>-2780.9</v>
      </c>
      <c r="J57" s="3">
        <f t="shared" si="3"/>
        <v>47.62900188323917</v>
      </c>
      <c r="K57" s="3">
        <f t="shared" si="4"/>
        <v>35.72175141242938</v>
      </c>
      <c r="L57" s="3">
        <f t="shared" si="0"/>
        <v>-2194.5000000000005</v>
      </c>
      <c r="M57" s="3">
        <f t="shared" si="1"/>
        <v>53.54179016004742</v>
      </c>
    </row>
    <row r="58" spans="1:13" ht="15.75">
      <c r="A58" s="73"/>
      <c r="B58" s="73"/>
      <c r="C58" s="35" t="s">
        <v>20</v>
      </c>
      <c r="D58" s="45" t="s">
        <v>21</v>
      </c>
      <c r="E58" s="3">
        <v>17394.3</v>
      </c>
      <c r="F58" s="3">
        <v>0</v>
      </c>
      <c r="G58" s="3">
        <v>0</v>
      </c>
      <c r="H58" s="3">
        <v>0</v>
      </c>
      <c r="I58" s="3">
        <f t="shared" si="2"/>
        <v>0</v>
      </c>
      <c r="J58" s="3"/>
      <c r="K58" s="3"/>
      <c r="L58" s="3">
        <f t="shared" si="0"/>
        <v>-17394.3</v>
      </c>
      <c r="M58" s="3">
        <f t="shared" si="1"/>
        <v>0</v>
      </c>
    </row>
    <row r="59" spans="1:13" s="2" customFormat="1" ht="15.75">
      <c r="A59" s="73"/>
      <c r="B59" s="73"/>
      <c r="C59" s="37"/>
      <c r="D59" s="46" t="s">
        <v>42</v>
      </c>
      <c r="E59" s="6">
        <f>SUM(E57:E58)</f>
        <v>22117.9</v>
      </c>
      <c r="F59" s="6">
        <f>SUM(F57:F58)</f>
        <v>7080</v>
      </c>
      <c r="G59" s="6">
        <f>SUM(G57:G58)</f>
        <v>5310</v>
      </c>
      <c r="H59" s="6">
        <f>SUM(H57:H58)</f>
        <v>2529.1</v>
      </c>
      <c r="I59" s="6">
        <f t="shared" si="2"/>
        <v>-2780.9</v>
      </c>
      <c r="J59" s="3">
        <f t="shared" si="3"/>
        <v>47.62900188323917</v>
      </c>
      <c r="K59" s="3">
        <f t="shared" si="4"/>
        <v>35.72175141242938</v>
      </c>
      <c r="L59" s="6">
        <f t="shared" si="0"/>
        <v>-19588.800000000003</v>
      </c>
      <c r="M59" s="6">
        <f t="shared" si="1"/>
        <v>11.43462986992436</v>
      </c>
    </row>
    <row r="60" spans="1:13" s="2" customFormat="1" ht="15.75">
      <c r="A60" s="73"/>
      <c r="B60" s="73"/>
      <c r="C60" s="37"/>
      <c r="D60" s="46" t="s">
        <v>32</v>
      </c>
      <c r="E60" s="6">
        <f>E59+E56</f>
        <v>49973.50000000001</v>
      </c>
      <c r="F60" s="6">
        <f>F59+F56</f>
        <v>42124.3</v>
      </c>
      <c r="G60" s="6">
        <f>G59+G56</f>
        <v>35833</v>
      </c>
      <c r="H60" s="6">
        <f>H59+H56</f>
        <v>78789.50000000001</v>
      </c>
      <c r="I60" s="6">
        <f t="shared" si="2"/>
        <v>42956.500000000015</v>
      </c>
      <c r="J60" s="6">
        <f t="shared" si="3"/>
        <v>219.87971981134712</v>
      </c>
      <c r="K60" s="6">
        <f t="shared" si="4"/>
        <v>187.04049681537737</v>
      </c>
      <c r="L60" s="6">
        <f t="shared" si="0"/>
        <v>28816.000000000007</v>
      </c>
      <c r="M60" s="6">
        <f t="shared" si="1"/>
        <v>157.66256115741345</v>
      </c>
    </row>
    <row r="61" spans="1:13" s="2" customFormat="1" ht="31.5">
      <c r="A61" s="73" t="s">
        <v>57</v>
      </c>
      <c r="B61" s="73" t="s">
        <v>58</v>
      </c>
      <c r="C61" s="35" t="s">
        <v>16</v>
      </c>
      <c r="D61" s="45" t="s">
        <v>17</v>
      </c>
      <c r="E61" s="3">
        <v>0</v>
      </c>
      <c r="F61" s="3">
        <v>0</v>
      </c>
      <c r="G61" s="3">
        <v>0</v>
      </c>
      <c r="H61" s="3">
        <v>103.2</v>
      </c>
      <c r="I61" s="3">
        <f t="shared" si="2"/>
        <v>103.2</v>
      </c>
      <c r="J61" s="3"/>
      <c r="K61" s="3"/>
      <c r="L61" s="3">
        <f t="shared" si="0"/>
        <v>103.2</v>
      </c>
      <c r="M61" s="3"/>
    </row>
    <row r="62" spans="1:13" s="2" customFormat="1" ht="15.75">
      <c r="A62" s="73"/>
      <c r="B62" s="73"/>
      <c r="C62" s="35" t="s">
        <v>20</v>
      </c>
      <c r="D62" s="45" t="s">
        <v>21</v>
      </c>
      <c r="E62" s="3">
        <v>0</v>
      </c>
      <c r="F62" s="3">
        <v>0</v>
      </c>
      <c r="G62" s="3">
        <v>0</v>
      </c>
      <c r="H62" s="3">
        <v>1.5</v>
      </c>
      <c r="I62" s="3">
        <f t="shared" si="2"/>
        <v>1.5</v>
      </c>
      <c r="J62" s="3"/>
      <c r="K62" s="3"/>
      <c r="L62" s="3">
        <f t="shared" si="0"/>
        <v>1.5</v>
      </c>
      <c r="M62" s="3"/>
    </row>
    <row r="63" spans="1:13" s="2" customFormat="1" ht="15.75">
      <c r="A63" s="73"/>
      <c r="B63" s="73"/>
      <c r="C63" s="35" t="s">
        <v>22</v>
      </c>
      <c r="D63" s="45" t="s">
        <v>23</v>
      </c>
      <c r="E63" s="3">
        <v>76.9</v>
      </c>
      <c r="F63" s="3">
        <v>0</v>
      </c>
      <c r="G63" s="3">
        <v>0</v>
      </c>
      <c r="H63" s="3">
        <v>0</v>
      </c>
      <c r="I63" s="3">
        <f t="shared" si="2"/>
        <v>0</v>
      </c>
      <c r="J63" s="3"/>
      <c r="K63" s="3"/>
      <c r="L63" s="3">
        <f t="shared" si="0"/>
        <v>-76.9</v>
      </c>
      <c r="M63" s="3">
        <f t="shared" si="1"/>
        <v>0</v>
      </c>
    </row>
    <row r="64" spans="1:13" ht="31.5">
      <c r="A64" s="73"/>
      <c r="B64" s="73"/>
      <c r="C64" s="35" t="s">
        <v>26</v>
      </c>
      <c r="D64" s="45" t="s">
        <v>27</v>
      </c>
      <c r="E64" s="3">
        <v>6087.1</v>
      </c>
      <c r="F64" s="3">
        <v>35989.8</v>
      </c>
      <c r="G64" s="3">
        <f>14662.1+12363.6</f>
        <v>27025.7</v>
      </c>
      <c r="H64" s="3">
        <v>27025.7</v>
      </c>
      <c r="I64" s="3">
        <f t="shared" si="2"/>
        <v>0</v>
      </c>
      <c r="J64" s="3">
        <f t="shared" si="3"/>
        <v>100</v>
      </c>
      <c r="K64" s="3">
        <f t="shared" si="4"/>
        <v>75.09266514401303</v>
      </c>
      <c r="L64" s="3">
        <f t="shared" si="0"/>
        <v>20938.6</v>
      </c>
      <c r="M64" s="3">
        <f t="shared" si="1"/>
        <v>443.98317753938653</v>
      </c>
    </row>
    <row r="65" spans="1:13" ht="15.75">
      <c r="A65" s="73"/>
      <c r="B65" s="73"/>
      <c r="C65" s="35" t="s">
        <v>28</v>
      </c>
      <c r="D65" s="45" t="s">
        <v>29</v>
      </c>
      <c r="E65" s="4">
        <v>10000</v>
      </c>
      <c r="F65" s="3">
        <v>45000</v>
      </c>
      <c r="G65" s="3">
        <v>5000</v>
      </c>
      <c r="H65" s="3">
        <v>5000</v>
      </c>
      <c r="I65" s="3">
        <f t="shared" si="2"/>
        <v>0</v>
      </c>
      <c r="J65" s="3">
        <f t="shared" si="3"/>
        <v>100</v>
      </c>
      <c r="K65" s="3">
        <f t="shared" si="4"/>
        <v>11.11111111111111</v>
      </c>
      <c r="L65" s="3">
        <f t="shared" si="0"/>
        <v>-5000</v>
      </c>
      <c r="M65" s="3">
        <f t="shared" si="1"/>
        <v>50</v>
      </c>
    </row>
    <row r="66" spans="1:13" ht="94.5">
      <c r="A66" s="73"/>
      <c r="B66" s="73"/>
      <c r="C66" s="35" t="s">
        <v>59</v>
      </c>
      <c r="D66" s="48" t="s">
        <v>60</v>
      </c>
      <c r="E66" s="3">
        <v>1489.4</v>
      </c>
      <c r="F66" s="3">
        <v>252.3</v>
      </c>
      <c r="G66" s="3">
        <v>252.3</v>
      </c>
      <c r="H66" s="3">
        <v>1555.7</v>
      </c>
      <c r="I66" s="3">
        <f t="shared" si="2"/>
        <v>1303.4</v>
      </c>
      <c r="J66" s="3">
        <f t="shared" si="3"/>
        <v>616.607213634562</v>
      </c>
      <c r="K66" s="3">
        <f t="shared" si="4"/>
        <v>616.607213634562</v>
      </c>
      <c r="L66" s="3">
        <f t="shared" si="0"/>
        <v>66.29999999999995</v>
      </c>
      <c r="M66" s="3">
        <f t="shared" si="1"/>
        <v>104.45145696253523</v>
      </c>
    </row>
    <row r="67" spans="1:13" ht="47.25">
      <c r="A67" s="73"/>
      <c r="B67" s="73"/>
      <c r="C67" s="35" t="s">
        <v>30</v>
      </c>
      <c r="D67" s="45" t="s">
        <v>31</v>
      </c>
      <c r="E67" s="3">
        <v>-13.8</v>
      </c>
      <c r="F67" s="3">
        <v>0</v>
      </c>
      <c r="G67" s="3">
        <v>0</v>
      </c>
      <c r="H67" s="3">
        <v>-1.5</v>
      </c>
      <c r="I67" s="3">
        <f t="shared" si="2"/>
        <v>-1.5</v>
      </c>
      <c r="J67" s="3"/>
      <c r="K67" s="3"/>
      <c r="L67" s="3">
        <f t="shared" si="0"/>
        <v>12.3</v>
      </c>
      <c r="M67" s="3">
        <f t="shared" si="1"/>
        <v>10.869565217391305</v>
      </c>
    </row>
    <row r="68" spans="1:13" ht="15.75">
      <c r="A68" s="73"/>
      <c r="B68" s="73"/>
      <c r="C68" s="35"/>
      <c r="D68" s="46" t="s">
        <v>37</v>
      </c>
      <c r="E68" s="6">
        <f>SUBTOTAL(9,E61:E67)</f>
        <v>17639.600000000002</v>
      </c>
      <c r="F68" s="6">
        <f>SUBTOTAL(9,F61:F67)</f>
        <v>81242.1</v>
      </c>
      <c r="G68" s="6">
        <f>SUBTOTAL(9,G61:G67)</f>
        <v>32278</v>
      </c>
      <c r="H68" s="6">
        <f>SUBTOTAL(9,H61:H67)</f>
        <v>33684.6</v>
      </c>
      <c r="I68" s="6">
        <f t="shared" si="2"/>
        <v>1406.5999999999985</v>
      </c>
      <c r="J68" s="6">
        <f t="shared" si="3"/>
        <v>104.35776690005576</v>
      </c>
      <c r="K68" s="6">
        <f t="shared" si="4"/>
        <v>41.46200061298268</v>
      </c>
      <c r="L68" s="6">
        <f t="shared" si="0"/>
        <v>16044.999999999996</v>
      </c>
      <c r="M68" s="6">
        <f t="shared" si="1"/>
        <v>190.96011247420572</v>
      </c>
    </row>
    <row r="69" spans="1:13" ht="15.75" hidden="1">
      <c r="A69" s="73"/>
      <c r="B69" s="73"/>
      <c r="C69" s="35" t="s">
        <v>20</v>
      </c>
      <c r="D69" s="45" t="s">
        <v>21</v>
      </c>
      <c r="E69" s="3">
        <v>0</v>
      </c>
      <c r="F69" s="3">
        <v>0</v>
      </c>
      <c r="G69" s="3">
        <v>0</v>
      </c>
      <c r="H69" s="3">
        <v>0</v>
      </c>
      <c r="I69" s="3">
        <f t="shared" si="2"/>
        <v>0</v>
      </c>
      <c r="J69" s="6" t="e">
        <f t="shared" si="3"/>
        <v>#DIV/0!</v>
      </c>
      <c r="K69" s="6" t="e">
        <f t="shared" si="4"/>
        <v>#DIV/0!</v>
      </c>
      <c r="L69" s="6">
        <f t="shared" si="0"/>
        <v>0</v>
      </c>
      <c r="M69" s="6" t="e">
        <f t="shared" si="1"/>
        <v>#DIV/0!</v>
      </c>
    </row>
    <row r="70" spans="1:13" ht="15.75" hidden="1">
      <c r="A70" s="73"/>
      <c r="B70" s="73"/>
      <c r="C70" s="35"/>
      <c r="D70" s="46" t="s">
        <v>42</v>
      </c>
      <c r="E70" s="6">
        <f>SUBTOTAL(9,E69)</f>
        <v>0</v>
      </c>
      <c r="F70" s="6">
        <f>SUBTOTAL(9,F69)</f>
        <v>0</v>
      </c>
      <c r="G70" s="6">
        <f>SUBTOTAL(9,G69)</f>
        <v>0</v>
      </c>
      <c r="H70" s="6">
        <f>SUBTOTAL(9,H69)</f>
        <v>0</v>
      </c>
      <c r="I70" s="6">
        <f t="shared" si="2"/>
        <v>0</v>
      </c>
      <c r="J70" s="6" t="e">
        <f aca="true" t="shared" si="5" ref="J70:J132">H70/G70*100</f>
        <v>#DIV/0!</v>
      </c>
      <c r="K70" s="6" t="e">
        <f t="shared" si="4"/>
        <v>#DIV/0!</v>
      </c>
      <c r="L70" s="6">
        <f aca="true" t="shared" si="6" ref="L70:L133">H70-E70</f>
        <v>0</v>
      </c>
      <c r="M70" s="6" t="e">
        <f aca="true" t="shared" si="7" ref="M70:M133">H70/E70*100</f>
        <v>#DIV/0!</v>
      </c>
    </row>
    <row r="71" spans="1:13" s="2" customFormat="1" ht="15.75">
      <c r="A71" s="73"/>
      <c r="B71" s="73"/>
      <c r="C71" s="37"/>
      <c r="D71" s="46" t="s">
        <v>32</v>
      </c>
      <c r="E71" s="6">
        <f>E68+E70</f>
        <v>17639.600000000002</v>
      </c>
      <c r="F71" s="6">
        <f>F68+F70</f>
        <v>81242.1</v>
      </c>
      <c r="G71" s="6">
        <f>G68+G70</f>
        <v>32278</v>
      </c>
      <c r="H71" s="6">
        <f>H68+H70</f>
        <v>33684.6</v>
      </c>
      <c r="I71" s="6">
        <f t="shared" si="2"/>
        <v>1406.5999999999985</v>
      </c>
      <c r="J71" s="6">
        <f t="shared" si="5"/>
        <v>104.35776690005576</v>
      </c>
      <c r="K71" s="6">
        <f aca="true" t="shared" si="8" ref="K71:K132">H71/F71*100</f>
        <v>41.46200061298268</v>
      </c>
      <c r="L71" s="6">
        <f t="shared" si="6"/>
        <v>16044.999999999996</v>
      </c>
      <c r="M71" s="6">
        <f t="shared" si="7"/>
        <v>190.96011247420572</v>
      </c>
    </row>
    <row r="72" spans="1:13" ht="110.25">
      <c r="A72" s="73" t="s">
        <v>61</v>
      </c>
      <c r="B72" s="73" t="s">
        <v>62</v>
      </c>
      <c r="C72" s="35" t="s">
        <v>63</v>
      </c>
      <c r="D72" s="45" t="s">
        <v>64</v>
      </c>
      <c r="E72" s="4">
        <v>41.4</v>
      </c>
      <c r="F72" s="4">
        <v>0</v>
      </c>
      <c r="G72" s="4">
        <v>0</v>
      </c>
      <c r="H72" s="4">
        <v>0</v>
      </c>
      <c r="I72" s="4">
        <f t="shared" si="2"/>
        <v>0</v>
      </c>
      <c r="J72" s="6"/>
      <c r="K72" s="6"/>
      <c r="L72" s="4">
        <f t="shared" si="6"/>
        <v>-41.4</v>
      </c>
      <c r="M72" s="4">
        <f t="shared" si="7"/>
        <v>0</v>
      </c>
    </row>
    <row r="73" spans="1:13" ht="31.5">
      <c r="A73" s="73"/>
      <c r="B73" s="73"/>
      <c r="C73" s="35" t="s">
        <v>16</v>
      </c>
      <c r="D73" s="45" t="s">
        <v>17</v>
      </c>
      <c r="E73" s="4">
        <v>1216.2</v>
      </c>
      <c r="F73" s="4">
        <v>0</v>
      </c>
      <c r="G73" s="4">
        <v>0</v>
      </c>
      <c r="H73" s="4">
        <v>2016.3</v>
      </c>
      <c r="I73" s="4">
        <f aca="true" t="shared" si="9" ref="I73:I143">H73-G73</f>
        <v>2016.3</v>
      </c>
      <c r="J73" s="4"/>
      <c r="K73" s="4"/>
      <c r="L73" s="4">
        <f t="shared" si="6"/>
        <v>800.0999999999999</v>
      </c>
      <c r="M73" s="4">
        <f t="shared" si="7"/>
        <v>165.7868771583621</v>
      </c>
    </row>
    <row r="74" spans="1:13" ht="110.25" hidden="1">
      <c r="A74" s="73"/>
      <c r="B74" s="73"/>
      <c r="C74" s="36" t="s">
        <v>65</v>
      </c>
      <c r="D74" s="44" t="s">
        <v>66</v>
      </c>
      <c r="E74" s="4">
        <v>0</v>
      </c>
      <c r="F74" s="4">
        <v>0</v>
      </c>
      <c r="G74" s="4">
        <v>0</v>
      </c>
      <c r="H74" s="4">
        <v>0</v>
      </c>
      <c r="I74" s="4">
        <f t="shared" si="9"/>
        <v>0</v>
      </c>
      <c r="J74" s="4"/>
      <c r="K74" s="4"/>
      <c r="L74" s="4">
        <f t="shared" si="6"/>
        <v>0</v>
      </c>
      <c r="M74" s="4" t="e">
        <f t="shared" si="7"/>
        <v>#DIV/0!</v>
      </c>
    </row>
    <row r="75" spans="1:13" ht="15.75">
      <c r="A75" s="73"/>
      <c r="B75" s="73"/>
      <c r="C75" s="35" t="s">
        <v>20</v>
      </c>
      <c r="D75" s="45" t="s">
        <v>21</v>
      </c>
      <c r="E75" s="4">
        <v>127.6</v>
      </c>
      <c r="F75" s="4">
        <v>0</v>
      </c>
      <c r="G75" s="4">
        <v>0</v>
      </c>
      <c r="H75" s="4">
        <f>19.3+922.6</f>
        <v>941.9</v>
      </c>
      <c r="I75" s="4">
        <f t="shared" si="9"/>
        <v>941.9</v>
      </c>
      <c r="J75" s="4"/>
      <c r="K75" s="4"/>
      <c r="L75" s="4">
        <f t="shared" si="6"/>
        <v>814.3</v>
      </c>
      <c r="M75" s="4">
        <f t="shared" si="7"/>
        <v>738.1661442006271</v>
      </c>
    </row>
    <row r="76" spans="1:13" ht="15.75" hidden="1">
      <c r="A76" s="73"/>
      <c r="B76" s="73"/>
      <c r="C76" s="35" t="s">
        <v>22</v>
      </c>
      <c r="D76" s="45" t="s">
        <v>23</v>
      </c>
      <c r="E76" s="4">
        <v>0</v>
      </c>
      <c r="F76" s="4">
        <v>0</v>
      </c>
      <c r="G76" s="4">
        <v>0</v>
      </c>
      <c r="H76" s="4">
        <v>0</v>
      </c>
      <c r="I76" s="4">
        <f t="shared" si="9"/>
        <v>0</v>
      </c>
      <c r="J76" s="4" t="e">
        <f t="shared" si="5"/>
        <v>#DIV/0!</v>
      </c>
      <c r="K76" s="4" t="e">
        <f t="shared" si="8"/>
        <v>#DIV/0!</v>
      </c>
      <c r="L76" s="4">
        <f t="shared" si="6"/>
        <v>0</v>
      </c>
      <c r="M76" s="4" t="e">
        <f t="shared" si="7"/>
        <v>#DIV/0!</v>
      </c>
    </row>
    <row r="77" spans="1:13" ht="15.75" hidden="1">
      <c r="A77" s="73"/>
      <c r="B77" s="73"/>
      <c r="C77" s="35" t="s">
        <v>24</v>
      </c>
      <c r="D77" s="45" t="s">
        <v>25</v>
      </c>
      <c r="E77" s="4">
        <v>0</v>
      </c>
      <c r="F77" s="4"/>
      <c r="G77" s="4"/>
      <c r="H77" s="4">
        <v>0</v>
      </c>
      <c r="I77" s="4">
        <f t="shared" si="9"/>
        <v>0</v>
      </c>
      <c r="J77" s="4" t="e">
        <f t="shared" si="5"/>
        <v>#DIV/0!</v>
      </c>
      <c r="K77" s="4" t="e">
        <f t="shared" si="8"/>
        <v>#DIV/0!</v>
      </c>
      <c r="L77" s="4">
        <f t="shared" si="6"/>
        <v>0</v>
      </c>
      <c r="M77" s="4" t="e">
        <f t="shared" si="7"/>
        <v>#DIV/0!</v>
      </c>
    </row>
    <row r="78" spans="1:13" ht="31.5">
      <c r="A78" s="73"/>
      <c r="B78" s="73"/>
      <c r="C78" s="35" t="s">
        <v>26</v>
      </c>
      <c r="D78" s="45" t="s">
        <v>27</v>
      </c>
      <c r="E78" s="4">
        <v>51027.7</v>
      </c>
      <c r="F78" s="4">
        <v>87882.6</v>
      </c>
      <c r="G78" s="4">
        <v>53831.1</v>
      </c>
      <c r="H78" s="4">
        <v>53831.1</v>
      </c>
      <c r="I78" s="4">
        <f t="shared" si="9"/>
        <v>0</v>
      </c>
      <c r="J78" s="4">
        <f t="shared" si="5"/>
        <v>100</v>
      </c>
      <c r="K78" s="4">
        <f t="shared" si="8"/>
        <v>61.25342217913443</v>
      </c>
      <c r="L78" s="4">
        <f t="shared" si="6"/>
        <v>2803.4000000000015</v>
      </c>
      <c r="M78" s="4">
        <f t="shared" si="7"/>
        <v>105.49387881483977</v>
      </c>
    </row>
    <row r="79" spans="1:13" ht="31.5">
      <c r="A79" s="73"/>
      <c r="B79" s="73"/>
      <c r="C79" s="35" t="s">
        <v>47</v>
      </c>
      <c r="D79" s="45" t="s">
        <v>48</v>
      </c>
      <c r="E79" s="4">
        <v>4710454.2</v>
      </c>
      <c r="F79" s="4">
        <f>8684853.1+60982.7</f>
        <v>8745835.799999999</v>
      </c>
      <c r="G79" s="4">
        <v>5513822.3</v>
      </c>
      <c r="H79" s="4">
        <v>5513822.3</v>
      </c>
      <c r="I79" s="4">
        <f t="shared" si="9"/>
        <v>0</v>
      </c>
      <c r="J79" s="4">
        <f t="shared" si="5"/>
        <v>100</v>
      </c>
      <c r="K79" s="4">
        <f t="shared" si="8"/>
        <v>63.04511571095356</v>
      </c>
      <c r="L79" s="4">
        <f t="shared" si="6"/>
        <v>803368.0999999996</v>
      </c>
      <c r="M79" s="4">
        <f t="shared" si="7"/>
        <v>117.05500289122861</v>
      </c>
    </row>
    <row r="80" spans="1:13" ht="15.75">
      <c r="A80" s="73"/>
      <c r="B80" s="73"/>
      <c r="C80" s="35" t="s">
        <v>28</v>
      </c>
      <c r="D80" s="45" t="s">
        <v>29</v>
      </c>
      <c r="E80" s="4">
        <v>8653.3</v>
      </c>
      <c r="F80" s="4">
        <v>247788.9</v>
      </c>
      <c r="G80" s="4">
        <v>121259</v>
      </c>
      <c r="H80" s="4">
        <v>120801</v>
      </c>
      <c r="I80" s="4">
        <f t="shared" si="9"/>
        <v>-458</v>
      </c>
      <c r="J80" s="4">
        <f t="shared" si="5"/>
        <v>99.62229607699223</v>
      </c>
      <c r="K80" s="4">
        <f t="shared" si="8"/>
        <v>48.75157846053637</v>
      </c>
      <c r="L80" s="4">
        <f t="shared" si="6"/>
        <v>112147.7</v>
      </c>
      <c r="M80" s="4">
        <f t="shared" si="7"/>
        <v>1396.0107704575134</v>
      </c>
    </row>
    <row r="81" spans="1:13" ht="31.5">
      <c r="A81" s="73"/>
      <c r="B81" s="73"/>
      <c r="C81" s="35" t="s">
        <v>55</v>
      </c>
      <c r="D81" s="45" t="s">
        <v>56</v>
      </c>
      <c r="E81" s="4">
        <v>0</v>
      </c>
      <c r="F81" s="4">
        <v>0</v>
      </c>
      <c r="G81" s="4">
        <v>0</v>
      </c>
      <c r="H81" s="4">
        <v>231.8</v>
      </c>
      <c r="I81" s="4">
        <f t="shared" si="9"/>
        <v>231.8</v>
      </c>
      <c r="J81" s="4"/>
      <c r="K81" s="4"/>
      <c r="L81" s="4">
        <f t="shared" si="6"/>
        <v>231.8</v>
      </c>
      <c r="M81" s="4"/>
    </row>
    <row r="82" spans="1:13" ht="94.5">
      <c r="A82" s="73"/>
      <c r="B82" s="73"/>
      <c r="C82" s="35" t="s">
        <v>59</v>
      </c>
      <c r="D82" s="48" t="s">
        <v>60</v>
      </c>
      <c r="E82" s="4">
        <v>2074.3</v>
      </c>
      <c r="F82" s="4">
        <v>4937.5</v>
      </c>
      <c r="G82" s="4">
        <v>4937.5</v>
      </c>
      <c r="H82" s="4">
        <v>13109</v>
      </c>
      <c r="I82" s="4">
        <f t="shared" si="9"/>
        <v>8171.5</v>
      </c>
      <c r="J82" s="4">
        <f t="shared" si="5"/>
        <v>265.4987341772152</v>
      </c>
      <c r="K82" s="4">
        <f t="shared" si="8"/>
        <v>265.4987341772152</v>
      </c>
      <c r="L82" s="4">
        <f t="shared" si="6"/>
        <v>11034.7</v>
      </c>
      <c r="M82" s="4">
        <f t="shared" si="7"/>
        <v>631.972231596201</v>
      </c>
    </row>
    <row r="83" spans="1:13" ht="47.25">
      <c r="A83" s="73"/>
      <c r="B83" s="73"/>
      <c r="C83" s="35" t="s">
        <v>30</v>
      </c>
      <c r="D83" s="45" t="s">
        <v>31</v>
      </c>
      <c r="E83" s="4">
        <v>-50610.2</v>
      </c>
      <c r="F83" s="4">
        <v>0</v>
      </c>
      <c r="G83" s="4">
        <v>0</v>
      </c>
      <c r="H83" s="4">
        <v>-41405.7</v>
      </c>
      <c r="I83" s="4">
        <f t="shared" si="9"/>
        <v>-41405.7</v>
      </c>
      <c r="J83" s="4"/>
      <c r="K83" s="4"/>
      <c r="L83" s="4">
        <f t="shared" si="6"/>
        <v>9204.5</v>
      </c>
      <c r="M83" s="4">
        <f t="shared" si="7"/>
        <v>81.81295470083106</v>
      </c>
    </row>
    <row r="84" spans="1:13" s="2" customFormat="1" ht="15.75">
      <c r="A84" s="73"/>
      <c r="B84" s="73"/>
      <c r="C84" s="37"/>
      <c r="D84" s="46" t="s">
        <v>32</v>
      </c>
      <c r="E84" s="6">
        <f>SUM(E72:E83)</f>
        <v>4722984.5</v>
      </c>
      <c r="F84" s="6">
        <f>SUM(F72:F83)</f>
        <v>9086444.799999999</v>
      </c>
      <c r="G84" s="6">
        <f>SUM(G72:G83)</f>
        <v>5693849.899999999</v>
      </c>
      <c r="H84" s="6">
        <f>SUM(H72:H83)</f>
        <v>5663347.699999999</v>
      </c>
      <c r="I84" s="6">
        <f t="shared" si="9"/>
        <v>-30502.200000000186</v>
      </c>
      <c r="J84" s="7">
        <f t="shared" si="5"/>
        <v>99.46429567804378</v>
      </c>
      <c r="K84" s="7">
        <f t="shared" si="8"/>
        <v>62.327431956665826</v>
      </c>
      <c r="L84" s="7">
        <f t="shared" si="6"/>
        <v>940363.1999999993</v>
      </c>
      <c r="M84" s="7">
        <f t="shared" si="7"/>
        <v>119.91035964653281</v>
      </c>
    </row>
    <row r="85" spans="1:13" s="2" customFormat="1" ht="31.5">
      <c r="A85" s="90" t="s">
        <v>67</v>
      </c>
      <c r="B85" s="73" t="s">
        <v>68</v>
      </c>
      <c r="C85" s="35" t="s">
        <v>16</v>
      </c>
      <c r="D85" s="45" t="s">
        <v>17</v>
      </c>
      <c r="E85" s="3">
        <v>3.5</v>
      </c>
      <c r="F85" s="3">
        <v>0</v>
      </c>
      <c r="G85" s="3">
        <v>0</v>
      </c>
      <c r="H85" s="3">
        <v>22.4</v>
      </c>
      <c r="I85" s="3">
        <f t="shared" si="9"/>
        <v>22.4</v>
      </c>
      <c r="J85" s="4"/>
      <c r="K85" s="4"/>
      <c r="L85" s="4">
        <f t="shared" si="6"/>
        <v>18.9</v>
      </c>
      <c r="M85" s="4">
        <f t="shared" si="7"/>
        <v>640</v>
      </c>
    </row>
    <row r="86" spans="1:13" ht="15.75">
      <c r="A86" s="90"/>
      <c r="B86" s="73"/>
      <c r="C86" s="35" t="s">
        <v>20</v>
      </c>
      <c r="D86" s="45" t="s">
        <v>21</v>
      </c>
      <c r="E86" s="3">
        <v>3170.1</v>
      </c>
      <c r="F86" s="3">
        <v>1100</v>
      </c>
      <c r="G86" s="3">
        <v>700</v>
      </c>
      <c r="H86" s="3">
        <f>29+40.4+538.8</f>
        <v>608.1999999999999</v>
      </c>
      <c r="I86" s="3">
        <f t="shared" si="9"/>
        <v>-91.80000000000007</v>
      </c>
      <c r="J86" s="4">
        <f t="shared" si="5"/>
        <v>86.88571428571427</v>
      </c>
      <c r="K86" s="4">
        <f t="shared" si="8"/>
        <v>55.29090909090908</v>
      </c>
      <c r="L86" s="4">
        <f t="shared" si="6"/>
        <v>-2561.9</v>
      </c>
      <c r="M86" s="4">
        <f t="shared" si="7"/>
        <v>19.185514652534618</v>
      </c>
    </row>
    <row r="87" spans="1:13" ht="15.75">
      <c r="A87" s="90"/>
      <c r="B87" s="73"/>
      <c r="C87" s="35" t="s">
        <v>22</v>
      </c>
      <c r="D87" s="45" t="s">
        <v>23</v>
      </c>
      <c r="E87" s="3">
        <v>0</v>
      </c>
      <c r="F87" s="3">
        <v>0</v>
      </c>
      <c r="G87" s="3">
        <v>0</v>
      </c>
      <c r="H87" s="3">
        <v>0.4</v>
      </c>
      <c r="I87" s="3">
        <f t="shared" si="9"/>
        <v>0.4</v>
      </c>
      <c r="J87" s="4"/>
      <c r="K87" s="4"/>
      <c r="L87" s="4">
        <f t="shared" si="6"/>
        <v>0.4</v>
      </c>
      <c r="M87" s="4"/>
    </row>
    <row r="88" spans="1:13" ht="31.5">
      <c r="A88" s="90"/>
      <c r="B88" s="73"/>
      <c r="C88" s="35" t="s">
        <v>47</v>
      </c>
      <c r="D88" s="45" t="s">
        <v>48</v>
      </c>
      <c r="E88" s="3">
        <v>1058.7</v>
      </c>
      <c r="F88" s="3">
        <v>1204.2</v>
      </c>
      <c r="G88" s="3">
        <v>1185.6</v>
      </c>
      <c r="H88" s="3">
        <v>1185.6</v>
      </c>
      <c r="I88" s="3">
        <f t="shared" si="9"/>
        <v>0</v>
      </c>
      <c r="J88" s="4">
        <f t="shared" si="5"/>
        <v>100</v>
      </c>
      <c r="K88" s="4">
        <f t="shared" si="8"/>
        <v>98.45540607872445</v>
      </c>
      <c r="L88" s="4">
        <f t="shared" si="6"/>
        <v>126.89999999999986</v>
      </c>
      <c r="M88" s="4">
        <f t="shared" si="7"/>
        <v>111.9863984131482</v>
      </c>
    </row>
    <row r="89" spans="1:13" ht="47.25">
      <c r="A89" s="90"/>
      <c r="B89" s="73"/>
      <c r="C89" s="35" t="s">
        <v>30</v>
      </c>
      <c r="D89" s="45" t="s">
        <v>31</v>
      </c>
      <c r="E89" s="3">
        <v>0</v>
      </c>
      <c r="F89" s="3">
        <v>0</v>
      </c>
      <c r="G89" s="3">
        <v>0</v>
      </c>
      <c r="H89" s="3">
        <v>-0.9</v>
      </c>
      <c r="I89" s="3">
        <f t="shared" si="9"/>
        <v>-0.9</v>
      </c>
      <c r="J89" s="4"/>
      <c r="K89" s="4"/>
      <c r="L89" s="4">
        <f t="shared" si="6"/>
        <v>-0.9</v>
      </c>
      <c r="M89" s="4"/>
    </row>
    <row r="90" spans="1:13" s="2" customFormat="1" ht="15.75">
      <c r="A90" s="90"/>
      <c r="B90" s="73"/>
      <c r="C90" s="62"/>
      <c r="D90" s="46" t="s">
        <v>32</v>
      </c>
      <c r="E90" s="7">
        <f>SUM(E85:E89)</f>
        <v>4232.3</v>
      </c>
      <c r="F90" s="7">
        <f>SUM(F85:F89)</f>
        <v>2304.2</v>
      </c>
      <c r="G90" s="7">
        <f>SUM(G85:G89)</f>
        <v>1885.6</v>
      </c>
      <c r="H90" s="7">
        <f>SUM(H85:H89)</f>
        <v>1815.6999999999998</v>
      </c>
      <c r="I90" s="7">
        <f t="shared" si="9"/>
        <v>-69.90000000000009</v>
      </c>
      <c r="J90" s="7">
        <f t="shared" si="5"/>
        <v>96.2929571489181</v>
      </c>
      <c r="K90" s="7">
        <f t="shared" si="8"/>
        <v>78.79958336949917</v>
      </c>
      <c r="L90" s="7">
        <f t="shared" si="6"/>
        <v>-2416.6000000000004</v>
      </c>
      <c r="M90" s="7">
        <f t="shared" si="7"/>
        <v>42.90102308437492</v>
      </c>
    </row>
    <row r="91" spans="1:13" s="2" customFormat="1" ht="110.25" hidden="1">
      <c r="A91" s="83" t="s">
        <v>69</v>
      </c>
      <c r="B91" s="83" t="s">
        <v>70</v>
      </c>
      <c r="C91" s="35" t="s">
        <v>63</v>
      </c>
      <c r="D91" s="49" t="s">
        <v>64</v>
      </c>
      <c r="E91" s="9">
        <v>0</v>
      </c>
      <c r="F91" s="9">
        <v>0</v>
      </c>
      <c r="G91" s="7"/>
      <c r="H91" s="9">
        <v>0</v>
      </c>
      <c r="I91" s="7"/>
      <c r="J91" s="4" t="e">
        <f t="shared" si="5"/>
        <v>#DIV/0!</v>
      </c>
      <c r="K91" s="4" t="e">
        <f t="shared" si="8"/>
        <v>#DIV/0!</v>
      </c>
      <c r="L91" s="4">
        <f t="shared" si="6"/>
        <v>0</v>
      </c>
      <c r="M91" s="4" t="e">
        <f t="shared" si="7"/>
        <v>#DIV/0!</v>
      </c>
    </row>
    <row r="92" spans="1:13" ht="31.5">
      <c r="A92" s="84"/>
      <c r="B92" s="84"/>
      <c r="C92" s="35" t="s">
        <v>16</v>
      </c>
      <c r="D92" s="45" t="s">
        <v>17</v>
      </c>
      <c r="E92" s="3">
        <v>127.8</v>
      </c>
      <c r="F92" s="3">
        <v>0</v>
      </c>
      <c r="G92" s="3">
        <v>0</v>
      </c>
      <c r="H92" s="3">
        <v>-69.6</v>
      </c>
      <c r="I92" s="3">
        <f t="shared" si="9"/>
        <v>-69.6</v>
      </c>
      <c r="J92" s="4"/>
      <c r="K92" s="4"/>
      <c r="L92" s="4">
        <f t="shared" si="6"/>
        <v>-197.39999999999998</v>
      </c>
      <c r="M92" s="4">
        <f t="shared" si="7"/>
        <v>-54.460093896713616</v>
      </c>
    </row>
    <row r="93" spans="1:13" ht="15.75">
      <c r="A93" s="84"/>
      <c r="B93" s="84"/>
      <c r="C93" s="35" t="s">
        <v>20</v>
      </c>
      <c r="D93" s="45" t="s">
        <v>21</v>
      </c>
      <c r="E93" s="3">
        <v>2959.7</v>
      </c>
      <c r="F93" s="3">
        <v>4869</v>
      </c>
      <c r="G93" s="3">
        <v>2200</v>
      </c>
      <c r="H93" s="3">
        <f>15+3+10+2030.8</f>
        <v>2058.8</v>
      </c>
      <c r="I93" s="3">
        <f t="shared" si="9"/>
        <v>-141.19999999999982</v>
      </c>
      <c r="J93" s="4">
        <f t="shared" si="5"/>
        <v>93.58181818181819</v>
      </c>
      <c r="K93" s="4">
        <f t="shared" si="8"/>
        <v>42.28383651673855</v>
      </c>
      <c r="L93" s="4">
        <f t="shared" si="6"/>
        <v>-900.8999999999996</v>
      </c>
      <c r="M93" s="4">
        <f t="shared" si="7"/>
        <v>69.56110416596277</v>
      </c>
    </row>
    <row r="94" spans="1:13" ht="15.75">
      <c r="A94" s="84"/>
      <c r="B94" s="84"/>
      <c r="C94" s="35" t="s">
        <v>22</v>
      </c>
      <c r="D94" s="45" t="s">
        <v>23</v>
      </c>
      <c r="E94" s="3">
        <v>0</v>
      </c>
      <c r="F94" s="3">
        <v>0</v>
      </c>
      <c r="G94" s="3">
        <v>0</v>
      </c>
      <c r="H94" s="3">
        <v>-5.2</v>
      </c>
      <c r="I94" s="3">
        <f t="shared" si="9"/>
        <v>-5.2</v>
      </c>
      <c r="J94" s="4"/>
      <c r="K94" s="4"/>
      <c r="L94" s="4">
        <f t="shared" si="6"/>
        <v>-5.2</v>
      </c>
      <c r="M94" s="4"/>
    </row>
    <row r="95" spans="1:13" ht="15.75">
      <c r="A95" s="84"/>
      <c r="B95" s="84"/>
      <c r="C95" s="35" t="s">
        <v>24</v>
      </c>
      <c r="D95" s="45" t="s">
        <v>25</v>
      </c>
      <c r="E95" s="3">
        <v>5.2</v>
      </c>
      <c r="F95" s="3">
        <v>0</v>
      </c>
      <c r="G95" s="3">
        <v>0</v>
      </c>
      <c r="H95" s="3">
        <v>0</v>
      </c>
      <c r="I95" s="3">
        <f t="shared" si="9"/>
        <v>0</v>
      </c>
      <c r="J95" s="4"/>
      <c r="K95" s="4"/>
      <c r="L95" s="4">
        <f t="shared" si="6"/>
        <v>-5.2</v>
      </c>
      <c r="M95" s="4">
        <f t="shared" si="7"/>
        <v>0</v>
      </c>
    </row>
    <row r="96" spans="1:13" ht="31.5">
      <c r="A96" s="84"/>
      <c r="B96" s="84"/>
      <c r="C96" s="35" t="s">
        <v>47</v>
      </c>
      <c r="D96" s="45" t="s">
        <v>48</v>
      </c>
      <c r="E96" s="3">
        <v>3113.8</v>
      </c>
      <c r="F96" s="3">
        <v>5875.8</v>
      </c>
      <c r="G96" s="3">
        <v>3802.2</v>
      </c>
      <c r="H96" s="3">
        <v>3802.2</v>
      </c>
      <c r="I96" s="3">
        <f t="shared" si="9"/>
        <v>0</v>
      </c>
      <c r="J96" s="4">
        <f t="shared" si="5"/>
        <v>100</v>
      </c>
      <c r="K96" s="4">
        <f t="shared" si="8"/>
        <v>64.70948636781374</v>
      </c>
      <c r="L96" s="4">
        <f t="shared" si="6"/>
        <v>688.3999999999996</v>
      </c>
      <c r="M96" s="4">
        <f t="shared" si="7"/>
        <v>122.10803519815016</v>
      </c>
    </row>
    <row r="97" spans="1:13" ht="15.75" hidden="1">
      <c r="A97" s="84"/>
      <c r="B97" s="84"/>
      <c r="C97" s="35" t="s">
        <v>28</v>
      </c>
      <c r="D97" s="45" t="s">
        <v>29</v>
      </c>
      <c r="E97" s="3">
        <v>0</v>
      </c>
      <c r="F97" s="3">
        <v>0</v>
      </c>
      <c r="G97" s="3"/>
      <c r="H97" s="3">
        <v>0</v>
      </c>
      <c r="I97" s="3">
        <f t="shared" si="9"/>
        <v>0</v>
      </c>
      <c r="J97" s="4" t="e">
        <f t="shared" si="5"/>
        <v>#DIV/0!</v>
      </c>
      <c r="K97" s="4" t="e">
        <f t="shared" si="8"/>
        <v>#DIV/0!</v>
      </c>
      <c r="L97" s="4">
        <f t="shared" si="6"/>
        <v>0</v>
      </c>
      <c r="M97" s="4" t="e">
        <f t="shared" si="7"/>
        <v>#DIV/0!</v>
      </c>
    </row>
    <row r="98" spans="1:13" ht="94.5">
      <c r="A98" s="84"/>
      <c r="B98" s="84"/>
      <c r="C98" s="35" t="s">
        <v>59</v>
      </c>
      <c r="D98" s="48" t="s">
        <v>60</v>
      </c>
      <c r="E98" s="3">
        <v>0</v>
      </c>
      <c r="F98" s="3">
        <v>0</v>
      </c>
      <c r="G98" s="3">
        <v>0</v>
      </c>
      <c r="H98" s="3">
        <v>99.3</v>
      </c>
      <c r="I98" s="3">
        <f t="shared" si="9"/>
        <v>99.3</v>
      </c>
      <c r="J98" s="4"/>
      <c r="K98" s="4"/>
      <c r="L98" s="4">
        <f t="shared" si="6"/>
        <v>99.3</v>
      </c>
      <c r="M98" s="4"/>
    </row>
    <row r="99" spans="1:13" ht="47.25">
      <c r="A99" s="84"/>
      <c r="B99" s="84"/>
      <c r="C99" s="35" t="s">
        <v>30</v>
      </c>
      <c r="D99" s="45" t="s">
        <v>31</v>
      </c>
      <c r="E99" s="3">
        <v>0</v>
      </c>
      <c r="F99" s="3">
        <v>0</v>
      </c>
      <c r="G99" s="3">
        <v>0</v>
      </c>
      <c r="H99" s="3">
        <v>-23.9</v>
      </c>
      <c r="I99" s="3">
        <f t="shared" si="9"/>
        <v>-23.9</v>
      </c>
      <c r="J99" s="4"/>
      <c r="K99" s="4"/>
      <c r="L99" s="4">
        <f t="shared" si="6"/>
        <v>-23.9</v>
      </c>
      <c r="M99" s="4"/>
    </row>
    <row r="100" spans="1:13" s="2" customFormat="1" ht="15.75">
      <c r="A100" s="85"/>
      <c r="B100" s="85"/>
      <c r="C100" s="62"/>
      <c r="D100" s="46" t="s">
        <v>32</v>
      </c>
      <c r="E100" s="7">
        <f>SUM(E92:E99)</f>
        <v>6206.5</v>
      </c>
      <c r="F100" s="7">
        <f>SUM(F92:F99)</f>
        <v>10744.8</v>
      </c>
      <c r="G100" s="7">
        <f>SUM(G92:G99)</f>
        <v>6002.2</v>
      </c>
      <c r="H100" s="7">
        <f>SUM(H91:H99)</f>
        <v>5861.6</v>
      </c>
      <c r="I100" s="7">
        <f t="shared" si="9"/>
        <v>-140.59999999999945</v>
      </c>
      <c r="J100" s="7">
        <f t="shared" si="5"/>
        <v>97.65752557395622</v>
      </c>
      <c r="K100" s="7">
        <f t="shared" si="8"/>
        <v>54.55290000744547</v>
      </c>
      <c r="L100" s="7">
        <f t="shared" si="6"/>
        <v>-344.89999999999964</v>
      </c>
      <c r="M100" s="7">
        <f t="shared" si="7"/>
        <v>94.44292274228631</v>
      </c>
    </row>
    <row r="101" spans="1:13" ht="31.5">
      <c r="A101" s="73" t="s">
        <v>71</v>
      </c>
      <c r="B101" s="73" t="s">
        <v>72</v>
      </c>
      <c r="C101" s="35" t="s">
        <v>16</v>
      </c>
      <c r="D101" s="45" t="s">
        <v>17</v>
      </c>
      <c r="E101" s="3">
        <v>66.7</v>
      </c>
      <c r="F101" s="3">
        <v>0</v>
      </c>
      <c r="G101" s="3">
        <v>0</v>
      </c>
      <c r="H101" s="3">
        <v>3.2</v>
      </c>
      <c r="I101" s="3">
        <f t="shared" si="9"/>
        <v>3.2</v>
      </c>
      <c r="J101" s="4"/>
      <c r="K101" s="4"/>
      <c r="L101" s="4">
        <f t="shared" si="6"/>
        <v>-63.5</v>
      </c>
      <c r="M101" s="4">
        <f t="shared" si="7"/>
        <v>4.7976011994003</v>
      </c>
    </row>
    <row r="102" spans="1:13" ht="15.75">
      <c r="A102" s="73"/>
      <c r="B102" s="73"/>
      <c r="C102" s="35" t="s">
        <v>20</v>
      </c>
      <c r="D102" s="45" t="s">
        <v>21</v>
      </c>
      <c r="E102" s="3">
        <v>5396.4</v>
      </c>
      <c r="F102" s="3">
        <v>2724</v>
      </c>
      <c r="G102" s="3">
        <v>1422.9</v>
      </c>
      <c r="H102" s="3">
        <f>21.2+132.6+555.6+1932.4</f>
        <v>2641.8</v>
      </c>
      <c r="I102" s="3">
        <f t="shared" si="9"/>
        <v>1218.9</v>
      </c>
      <c r="J102" s="4">
        <f t="shared" si="5"/>
        <v>185.663082437276</v>
      </c>
      <c r="K102" s="4">
        <f t="shared" si="8"/>
        <v>96.98237885462557</v>
      </c>
      <c r="L102" s="4">
        <f t="shared" si="6"/>
        <v>-2754.5999999999995</v>
      </c>
      <c r="M102" s="4">
        <f t="shared" si="7"/>
        <v>48.95485879475206</v>
      </c>
    </row>
    <row r="103" spans="1:13" ht="15.75">
      <c r="A103" s="73"/>
      <c r="B103" s="73"/>
      <c r="C103" s="35" t="s">
        <v>22</v>
      </c>
      <c r="D103" s="45" t="s">
        <v>23</v>
      </c>
      <c r="E103" s="3">
        <v>0</v>
      </c>
      <c r="F103" s="3">
        <v>0</v>
      </c>
      <c r="G103" s="3">
        <v>0</v>
      </c>
      <c r="H103" s="3">
        <v>3.6</v>
      </c>
      <c r="I103" s="3">
        <f t="shared" si="9"/>
        <v>3.6</v>
      </c>
      <c r="J103" s="4"/>
      <c r="K103" s="4"/>
      <c r="L103" s="4">
        <f t="shared" si="6"/>
        <v>3.6</v>
      </c>
      <c r="M103" s="4"/>
    </row>
    <row r="104" spans="1:13" ht="15.75">
      <c r="A104" s="73"/>
      <c r="B104" s="73"/>
      <c r="C104" s="35" t="s">
        <v>24</v>
      </c>
      <c r="D104" s="45" t="s">
        <v>25</v>
      </c>
      <c r="E104" s="3">
        <v>0.3</v>
      </c>
      <c r="F104" s="3">
        <v>0</v>
      </c>
      <c r="G104" s="3">
        <v>0</v>
      </c>
      <c r="H104" s="3">
        <v>0</v>
      </c>
      <c r="I104" s="3">
        <f t="shared" si="9"/>
        <v>0</v>
      </c>
      <c r="J104" s="4"/>
      <c r="K104" s="4"/>
      <c r="L104" s="4">
        <f t="shared" si="6"/>
        <v>-0.3</v>
      </c>
      <c r="M104" s="4">
        <f t="shared" si="7"/>
        <v>0</v>
      </c>
    </row>
    <row r="105" spans="1:13" ht="31.5">
      <c r="A105" s="73"/>
      <c r="B105" s="73"/>
      <c r="C105" s="35" t="s">
        <v>47</v>
      </c>
      <c r="D105" s="45" t="s">
        <v>48</v>
      </c>
      <c r="E105" s="3">
        <v>3381.1</v>
      </c>
      <c r="F105" s="3">
        <v>5619.7</v>
      </c>
      <c r="G105" s="3">
        <v>3746.4</v>
      </c>
      <c r="H105" s="3">
        <v>3746.4</v>
      </c>
      <c r="I105" s="3">
        <f t="shared" si="9"/>
        <v>0</v>
      </c>
      <c r="J105" s="4">
        <f t="shared" si="5"/>
        <v>100</v>
      </c>
      <c r="K105" s="4">
        <f t="shared" si="8"/>
        <v>66.66548036372049</v>
      </c>
      <c r="L105" s="4">
        <f t="shared" si="6"/>
        <v>365.3000000000002</v>
      </c>
      <c r="M105" s="4">
        <f t="shared" si="7"/>
        <v>110.80417615568898</v>
      </c>
    </row>
    <row r="106" spans="1:13" ht="94.5">
      <c r="A106" s="73"/>
      <c r="B106" s="73"/>
      <c r="C106" s="35" t="s">
        <v>59</v>
      </c>
      <c r="D106" s="48" t="s">
        <v>60</v>
      </c>
      <c r="E106" s="3">
        <v>0</v>
      </c>
      <c r="F106" s="3">
        <v>0</v>
      </c>
      <c r="G106" s="3">
        <v>0</v>
      </c>
      <c r="H106" s="3">
        <v>6.6</v>
      </c>
      <c r="I106" s="3">
        <f t="shared" si="9"/>
        <v>6.6</v>
      </c>
      <c r="J106" s="4"/>
      <c r="K106" s="4"/>
      <c r="L106" s="4">
        <f t="shared" si="6"/>
        <v>6.6</v>
      </c>
      <c r="M106" s="4"/>
    </row>
    <row r="107" spans="1:13" ht="47.25" hidden="1">
      <c r="A107" s="73"/>
      <c r="B107" s="73"/>
      <c r="C107" s="35" t="s">
        <v>30</v>
      </c>
      <c r="D107" s="45" t="s">
        <v>31</v>
      </c>
      <c r="E107" s="3">
        <v>0</v>
      </c>
      <c r="F107" s="3"/>
      <c r="G107" s="3"/>
      <c r="H107" s="3">
        <v>0</v>
      </c>
      <c r="I107" s="3">
        <f t="shared" si="9"/>
        <v>0</v>
      </c>
      <c r="J107" s="4" t="e">
        <f t="shared" si="5"/>
        <v>#DIV/0!</v>
      </c>
      <c r="K107" s="4" t="e">
        <f t="shared" si="8"/>
        <v>#DIV/0!</v>
      </c>
      <c r="L107" s="4">
        <f t="shared" si="6"/>
        <v>0</v>
      </c>
      <c r="M107" s="4" t="e">
        <f t="shared" si="7"/>
        <v>#DIV/0!</v>
      </c>
    </row>
    <row r="108" spans="1:13" s="2" customFormat="1" ht="15.75">
      <c r="A108" s="73"/>
      <c r="B108" s="73"/>
      <c r="C108" s="62"/>
      <c r="D108" s="46" t="s">
        <v>32</v>
      </c>
      <c r="E108" s="7">
        <f>SUM(E101:E107)</f>
        <v>8844.5</v>
      </c>
      <c r="F108" s="7">
        <f>SUM(F101:F107)</f>
        <v>8343.7</v>
      </c>
      <c r="G108" s="7">
        <f>SUM(G101:G107)</f>
        <v>5169.3</v>
      </c>
      <c r="H108" s="7">
        <f>SUM(H101:H107)</f>
        <v>6401.6</v>
      </c>
      <c r="I108" s="7">
        <f t="shared" si="9"/>
        <v>1232.3000000000002</v>
      </c>
      <c r="J108" s="7">
        <f t="shared" si="5"/>
        <v>123.83881763488287</v>
      </c>
      <c r="K108" s="7">
        <f t="shared" si="8"/>
        <v>76.72375564797392</v>
      </c>
      <c r="L108" s="7">
        <f t="shared" si="6"/>
        <v>-2442.8999999999996</v>
      </c>
      <c r="M108" s="7">
        <f t="shared" si="7"/>
        <v>72.37944485273334</v>
      </c>
    </row>
    <row r="109" spans="1:13" ht="31.5">
      <c r="A109" s="73" t="s">
        <v>73</v>
      </c>
      <c r="B109" s="73" t="s">
        <v>74</v>
      </c>
      <c r="C109" s="35" t="s">
        <v>16</v>
      </c>
      <c r="D109" s="45" t="s">
        <v>17</v>
      </c>
      <c r="E109" s="3">
        <v>93.1</v>
      </c>
      <c r="F109" s="3">
        <v>0</v>
      </c>
      <c r="G109" s="3">
        <v>0</v>
      </c>
      <c r="H109" s="3">
        <v>229.5</v>
      </c>
      <c r="I109" s="3">
        <f t="shared" si="9"/>
        <v>229.5</v>
      </c>
      <c r="J109" s="4"/>
      <c r="K109" s="4"/>
      <c r="L109" s="4">
        <f t="shared" si="6"/>
        <v>136.4</v>
      </c>
      <c r="M109" s="4">
        <f t="shared" si="7"/>
        <v>246.50912996777657</v>
      </c>
    </row>
    <row r="110" spans="1:13" ht="110.25" hidden="1">
      <c r="A110" s="73"/>
      <c r="B110" s="73"/>
      <c r="C110" s="36" t="s">
        <v>65</v>
      </c>
      <c r="D110" s="44" t="s">
        <v>66</v>
      </c>
      <c r="E110" s="3"/>
      <c r="F110" s="3"/>
      <c r="G110" s="3"/>
      <c r="H110" s="3">
        <v>0</v>
      </c>
      <c r="I110" s="3">
        <f t="shared" si="9"/>
        <v>0</v>
      </c>
      <c r="J110" s="4" t="e">
        <f t="shared" si="5"/>
        <v>#DIV/0!</v>
      </c>
      <c r="K110" s="4" t="e">
        <f t="shared" si="8"/>
        <v>#DIV/0!</v>
      </c>
      <c r="L110" s="4">
        <f t="shared" si="6"/>
        <v>0</v>
      </c>
      <c r="M110" s="4" t="e">
        <f t="shared" si="7"/>
        <v>#DIV/0!</v>
      </c>
    </row>
    <row r="111" spans="1:13" ht="15.75">
      <c r="A111" s="73"/>
      <c r="B111" s="73"/>
      <c r="C111" s="35" t="s">
        <v>20</v>
      </c>
      <c r="D111" s="45" t="s">
        <v>21</v>
      </c>
      <c r="E111" s="3">
        <v>1748</v>
      </c>
      <c r="F111" s="3">
        <v>976</v>
      </c>
      <c r="G111" s="3">
        <v>487</v>
      </c>
      <c r="H111" s="3">
        <f>15+18+23.7+373.7</f>
        <v>430.4</v>
      </c>
      <c r="I111" s="3">
        <f t="shared" si="9"/>
        <v>-56.60000000000002</v>
      </c>
      <c r="J111" s="4">
        <f t="shared" si="5"/>
        <v>88.37782340862422</v>
      </c>
      <c r="K111" s="4">
        <f t="shared" si="8"/>
        <v>44.0983606557377</v>
      </c>
      <c r="L111" s="4">
        <f t="shared" si="6"/>
        <v>-1317.6</v>
      </c>
      <c r="M111" s="4">
        <f t="shared" si="7"/>
        <v>24.622425629290618</v>
      </c>
    </row>
    <row r="112" spans="1:13" ht="15.75">
      <c r="A112" s="73"/>
      <c r="B112" s="73"/>
      <c r="C112" s="35" t="s">
        <v>22</v>
      </c>
      <c r="D112" s="45" t="s">
        <v>23</v>
      </c>
      <c r="E112" s="3">
        <v>0</v>
      </c>
      <c r="F112" s="3">
        <v>0</v>
      </c>
      <c r="G112" s="3">
        <v>0</v>
      </c>
      <c r="H112" s="3">
        <v>1.9</v>
      </c>
      <c r="I112" s="3">
        <f t="shared" si="9"/>
        <v>1.9</v>
      </c>
      <c r="J112" s="4"/>
      <c r="K112" s="4"/>
      <c r="L112" s="4">
        <f t="shared" si="6"/>
        <v>1.9</v>
      </c>
      <c r="M112" s="4"/>
    </row>
    <row r="113" spans="1:13" ht="15.75">
      <c r="A113" s="73"/>
      <c r="B113" s="73"/>
      <c r="C113" s="35" t="s">
        <v>24</v>
      </c>
      <c r="D113" s="45" t="s">
        <v>25</v>
      </c>
      <c r="E113" s="3">
        <v>0</v>
      </c>
      <c r="F113" s="3">
        <v>0</v>
      </c>
      <c r="G113" s="3">
        <v>0</v>
      </c>
      <c r="H113" s="3">
        <v>0.4</v>
      </c>
      <c r="I113" s="3">
        <f t="shared" si="9"/>
        <v>0.4</v>
      </c>
      <c r="J113" s="4"/>
      <c r="K113" s="4"/>
      <c r="L113" s="4">
        <f t="shared" si="6"/>
        <v>0.4</v>
      </c>
      <c r="M113" s="4"/>
    </row>
    <row r="114" spans="1:13" ht="31.5">
      <c r="A114" s="73"/>
      <c r="B114" s="73"/>
      <c r="C114" s="35" t="s">
        <v>47</v>
      </c>
      <c r="D114" s="45" t="s">
        <v>48</v>
      </c>
      <c r="E114" s="3">
        <v>2838.2</v>
      </c>
      <c r="F114" s="3">
        <v>4816.9</v>
      </c>
      <c r="G114" s="3">
        <v>3211.2</v>
      </c>
      <c r="H114" s="3">
        <v>3211.2</v>
      </c>
      <c r="I114" s="3">
        <f>H114-G114</f>
        <v>0</v>
      </c>
      <c r="J114" s="4">
        <f t="shared" si="5"/>
        <v>100</v>
      </c>
      <c r="K114" s="4">
        <f t="shared" si="8"/>
        <v>66.66528265066745</v>
      </c>
      <c r="L114" s="4">
        <f t="shared" si="6"/>
        <v>373</v>
      </c>
      <c r="M114" s="4">
        <f t="shared" si="7"/>
        <v>113.14213233739694</v>
      </c>
    </row>
    <row r="115" spans="1:13" ht="47.25">
      <c r="A115" s="73"/>
      <c r="B115" s="73"/>
      <c r="C115" s="35" t="s">
        <v>30</v>
      </c>
      <c r="D115" s="45" t="s">
        <v>31</v>
      </c>
      <c r="E115" s="3">
        <v>0</v>
      </c>
      <c r="F115" s="3">
        <v>0</v>
      </c>
      <c r="G115" s="3">
        <v>0</v>
      </c>
      <c r="H115" s="3">
        <v>-8.1</v>
      </c>
      <c r="I115" s="3">
        <f t="shared" si="9"/>
        <v>-8.1</v>
      </c>
      <c r="J115" s="4"/>
      <c r="K115" s="4"/>
      <c r="L115" s="4">
        <f t="shared" si="6"/>
        <v>-8.1</v>
      </c>
      <c r="M115" s="4"/>
    </row>
    <row r="116" spans="1:13" s="2" customFormat="1" ht="15.75">
      <c r="A116" s="73"/>
      <c r="B116" s="73"/>
      <c r="C116" s="62"/>
      <c r="D116" s="46" t="s">
        <v>32</v>
      </c>
      <c r="E116" s="7">
        <f>SUM(E109:E115)</f>
        <v>4679.299999999999</v>
      </c>
      <c r="F116" s="7">
        <f>SUM(F109:F115)</f>
        <v>5792.9</v>
      </c>
      <c r="G116" s="7">
        <f>SUM(G109:G115)</f>
        <v>3698.2</v>
      </c>
      <c r="H116" s="7">
        <f>SUM(H109:H115)</f>
        <v>3865.2999999999997</v>
      </c>
      <c r="I116" s="7">
        <f t="shared" si="9"/>
        <v>167.0999999999999</v>
      </c>
      <c r="J116" s="7">
        <f t="shared" si="5"/>
        <v>104.51841436374451</v>
      </c>
      <c r="K116" s="7">
        <f t="shared" si="8"/>
        <v>66.72478378704967</v>
      </c>
      <c r="L116" s="7">
        <f t="shared" si="6"/>
        <v>-813.9999999999995</v>
      </c>
      <c r="M116" s="7">
        <f t="shared" si="7"/>
        <v>82.60423567627637</v>
      </c>
    </row>
    <row r="117" spans="1:13" ht="31.5">
      <c r="A117" s="73" t="s">
        <v>75</v>
      </c>
      <c r="B117" s="73" t="s">
        <v>76</v>
      </c>
      <c r="C117" s="35" t="s">
        <v>16</v>
      </c>
      <c r="D117" s="45" t="s">
        <v>17</v>
      </c>
      <c r="E117" s="3">
        <v>44</v>
      </c>
      <c r="F117" s="3">
        <v>0</v>
      </c>
      <c r="G117" s="3">
        <v>0</v>
      </c>
      <c r="H117" s="3">
        <v>37.5</v>
      </c>
      <c r="I117" s="3">
        <f t="shared" si="9"/>
        <v>37.5</v>
      </c>
      <c r="J117" s="4"/>
      <c r="K117" s="4"/>
      <c r="L117" s="4">
        <f t="shared" si="6"/>
        <v>-6.5</v>
      </c>
      <c r="M117" s="4">
        <f t="shared" si="7"/>
        <v>85.22727272727273</v>
      </c>
    </row>
    <row r="118" spans="1:13" ht="15.75">
      <c r="A118" s="73"/>
      <c r="B118" s="73"/>
      <c r="C118" s="35" t="s">
        <v>20</v>
      </c>
      <c r="D118" s="45" t="s">
        <v>21</v>
      </c>
      <c r="E118" s="3">
        <v>1890.6</v>
      </c>
      <c r="F118" s="3">
        <v>1801.9</v>
      </c>
      <c r="G118" s="3">
        <v>954.7</v>
      </c>
      <c r="H118" s="3">
        <f>10+22.3+1.9+859.3</f>
        <v>893.5</v>
      </c>
      <c r="I118" s="3">
        <f t="shared" si="9"/>
        <v>-61.200000000000045</v>
      </c>
      <c r="J118" s="4">
        <f t="shared" si="5"/>
        <v>93.5896093013512</v>
      </c>
      <c r="K118" s="4">
        <f t="shared" si="8"/>
        <v>49.58654753315944</v>
      </c>
      <c r="L118" s="4">
        <f t="shared" si="6"/>
        <v>-997.0999999999999</v>
      </c>
      <c r="M118" s="4">
        <f t="shared" si="7"/>
        <v>47.26012905955781</v>
      </c>
    </row>
    <row r="119" spans="1:13" ht="15.75">
      <c r="A119" s="73"/>
      <c r="B119" s="73"/>
      <c r="C119" s="35" t="s">
        <v>22</v>
      </c>
      <c r="D119" s="45" t="s">
        <v>23</v>
      </c>
      <c r="E119" s="3">
        <v>0</v>
      </c>
      <c r="F119" s="3">
        <v>0</v>
      </c>
      <c r="G119" s="3">
        <v>0</v>
      </c>
      <c r="H119" s="3">
        <v>-9</v>
      </c>
      <c r="I119" s="3">
        <f t="shared" si="9"/>
        <v>-9</v>
      </c>
      <c r="J119" s="4"/>
      <c r="K119" s="4"/>
      <c r="L119" s="4">
        <f t="shared" si="6"/>
        <v>-9</v>
      </c>
      <c r="M119" s="4"/>
    </row>
    <row r="120" spans="1:13" ht="31.5">
      <c r="A120" s="73"/>
      <c r="B120" s="73"/>
      <c r="C120" s="35" t="s">
        <v>47</v>
      </c>
      <c r="D120" s="45" t="s">
        <v>48</v>
      </c>
      <c r="E120" s="3">
        <v>3113.8</v>
      </c>
      <c r="F120" s="3">
        <v>4816.9</v>
      </c>
      <c r="G120" s="3">
        <v>3211.2</v>
      </c>
      <c r="H120" s="3">
        <v>3211.2</v>
      </c>
      <c r="I120" s="3">
        <f t="shared" si="9"/>
        <v>0</v>
      </c>
      <c r="J120" s="4">
        <f t="shared" si="5"/>
        <v>100</v>
      </c>
      <c r="K120" s="4">
        <f t="shared" si="8"/>
        <v>66.66528265066745</v>
      </c>
      <c r="L120" s="4">
        <f t="shared" si="6"/>
        <v>97.39999999999964</v>
      </c>
      <c r="M120" s="4">
        <f t="shared" si="7"/>
        <v>103.12801079067376</v>
      </c>
    </row>
    <row r="121" spans="1:13" ht="94.5">
      <c r="A121" s="73"/>
      <c r="B121" s="73"/>
      <c r="C121" s="35" t="s">
        <v>59</v>
      </c>
      <c r="D121" s="48" t="s">
        <v>60</v>
      </c>
      <c r="E121" s="3">
        <v>0</v>
      </c>
      <c r="F121" s="3">
        <v>0</v>
      </c>
      <c r="G121" s="3">
        <v>0</v>
      </c>
      <c r="H121" s="3">
        <v>21.8</v>
      </c>
      <c r="I121" s="3">
        <f t="shared" si="9"/>
        <v>21.8</v>
      </c>
      <c r="J121" s="4"/>
      <c r="K121" s="4"/>
      <c r="L121" s="4">
        <f t="shared" si="6"/>
        <v>21.8</v>
      </c>
      <c r="M121" s="4"/>
    </row>
    <row r="122" spans="1:13" ht="47.25" hidden="1">
      <c r="A122" s="73"/>
      <c r="B122" s="73"/>
      <c r="C122" s="35" t="s">
        <v>30</v>
      </c>
      <c r="D122" s="45" t="s">
        <v>31</v>
      </c>
      <c r="E122" s="3">
        <v>0</v>
      </c>
      <c r="F122" s="3"/>
      <c r="G122" s="3"/>
      <c r="H122" s="3">
        <v>0</v>
      </c>
      <c r="I122" s="3">
        <f t="shared" si="9"/>
        <v>0</v>
      </c>
      <c r="J122" s="4" t="e">
        <f t="shared" si="5"/>
        <v>#DIV/0!</v>
      </c>
      <c r="K122" s="4" t="e">
        <f t="shared" si="8"/>
        <v>#DIV/0!</v>
      </c>
      <c r="L122" s="4">
        <f t="shared" si="6"/>
        <v>0</v>
      </c>
      <c r="M122" s="4" t="e">
        <f t="shared" si="7"/>
        <v>#DIV/0!</v>
      </c>
    </row>
    <row r="123" spans="1:13" s="2" customFormat="1" ht="15.75">
      <c r="A123" s="73"/>
      <c r="B123" s="73"/>
      <c r="C123" s="62"/>
      <c r="D123" s="46" t="s">
        <v>32</v>
      </c>
      <c r="E123" s="7">
        <f>SUM(E117:E122)</f>
        <v>5048.4</v>
      </c>
      <c r="F123" s="7">
        <f>SUM(F117:F122)</f>
        <v>6618.799999999999</v>
      </c>
      <c r="G123" s="7">
        <f>SUM(G117:G122)</f>
        <v>4165.9</v>
      </c>
      <c r="H123" s="7">
        <f>SUM(H117:H122)</f>
        <v>4155</v>
      </c>
      <c r="I123" s="7">
        <f t="shared" si="9"/>
        <v>-10.899999999999636</v>
      </c>
      <c r="J123" s="7">
        <f t="shared" si="5"/>
        <v>99.73835185674164</v>
      </c>
      <c r="K123" s="7">
        <f t="shared" si="8"/>
        <v>62.77572973952983</v>
      </c>
      <c r="L123" s="7">
        <f t="shared" si="6"/>
        <v>-893.3999999999996</v>
      </c>
      <c r="M123" s="7">
        <f t="shared" si="7"/>
        <v>82.30330401711434</v>
      </c>
    </row>
    <row r="124" spans="1:13" ht="31.5">
      <c r="A124" s="82">
        <v>936</v>
      </c>
      <c r="B124" s="73" t="s">
        <v>77</v>
      </c>
      <c r="C124" s="35" t="s">
        <v>16</v>
      </c>
      <c r="D124" s="45" t="s">
        <v>17</v>
      </c>
      <c r="E124" s="8">
        <v>32.4</v>
      </c>
      <c r="F124" s="8">
        <v>0</v>
      </c>
      <c r="G124" s="8">
        <v>0</v>
      </c>
      <c r="H124" s="8">
        <v>7</v>
      </c>
      <c r="I124" s="8">
        <f t="shared" si="9"/>
        <v>7</v>
      </c>
      <c r="J124" s="4"/>
      <c r="K124" s="4"/>
      <c r="L124" s="4">
        <f t="shared" si="6"/>
        <v>-25.4</v>
      </c>
      <c r="M124" s="4">
        <f t="shared" si="7"/>
        <v>21.60493827160494</v>
      </c>
    </row>
    <row r="125" spans="1:13" s="2" customFormat="1" ht="15.75">
      <c r="A125" s="82"/>
      <c r="B125" s="73"/>
      <c r="C125" s="35" t="s">
        <v>20</v>
      </c>
      <c r="D125" s="45" t="s">
        <v>21</v>
      </c>
      <c r="E125" s="8">
        <v>813.8</v>
      </c>
      <c r="F125" s="3">
        <v>1307.1</v>
      </c>
      <c r="G125" s="3">
        <v>596</v>
      </c>
      <c r="H125" s="3">
        <f>23+113+1140.5</f>
        <v>1276.5</v>
      </c>
      <c r="I125" s="3">
        <f t="shared" si="9"/>
        <v>680.5</v>
      </c>
      <c r="J125" s="4">
        <f t="shared" si="5"/>
        <v>214.17785234899327</v>
      </c>
      <c r="K125" s="4">
        <f t="shared" si="8"/>
        <v>97.65893963736517</v>
      </c>
      <c r="L125" s="4">
        <f t="shared" si="6"/>
        <v>462.70000000000005</v>
      </c>
      <c r="M125" s="4">
        <f t="shared" si="7"/>
        <v>156.85672155320717</v>
      </c>
    </row>
    <row r="126" spans="1:13" ht="15.75">
      <c r="A126" s="82"/>
      <c r="B126" s="73"/>
      <c r="C126" s="35" t="s">
        <v>22</v>
      </c>
      <c r="D126" s="45" t="s">
        <v>23</v>
      </c>
      <c r="E126" s="3">
        <v>0</v>
      </c>
      <c r="F126" s="3">
        <v>0</v>
      </c>
      <c r="G126" s="3">
        <v>0</v>
      </c>
      <c r="H126" s="3">
        <v>11.2</v>
      </c>
      <c r="I126" s="3">
        <f t="shared" si="9"/>
        <v>11.2</v>
      </c>
      <c r="J126" s="4"/>
      <c r="K126" s="4"/>
      <c r="L126" s="4">
        <f t="shared" si="6"/>
        <v>11.2</v>
      </c>
      <c r="M126" s="4"/>
    </row>
    <row r="127" spans="1:13" ht="15.75" hidden="1">
      <c r="A127" s="82"/>
      <c r="B127" s="73"/>
      <c r="C127" s="35" t="s">
        <v>24</v>
      </c>
      <c r="D127" s="45" t="s">
        <v>25</v>
      </c>
      <c r="E127" s="3"/>
      <c r="F127" s="3">
        <v>0</v>
      </c>
      <c r="G127" s="3">
        <v>0</v>
      </c>
      <c r="H127" s="3">
        <v>0</v>
      </c>
      <c r="I127" s="3">
        <f t="shared" si="9"/>
        <v>0</v>
      </c>
      <c r="J127" s="4" t="e">
        <f t="shared" si="5"/>
        <v>#DIV/0!</v>
      </c>
      <c r="K127" s="4" t="e">
        <f t="shared" si="8"/>
        <v>#DIV/0!</v>
      </c>
      <c r="L127" s="4">
        <f t="shared" si="6"/>
        <v>0</v>
      </c>
      <c r="M127" s="4" t="e">
        <f t="shared" si="7"/>
        <v>#DIV/0!</v>
      </c>
    </row>
    <row r="128" spans="1:13" ht="31.5">
      <c r="A128" s="82"/>
      <c r="B128" s="73"/>
      <c r="C128" s="35" t="s">
        <v>47</v>
      </c>
      <c r="D128" s="45" t="s">
        <v>48</v>
      </c>
      <c r="E128" s="3">
        <v>2838.2</v>
      </c>
      <c r="F128" s="3">
        <v>4616.2</v>
      </c>
      <c r="G128" s="3">
        <v>3077.5</v>
      </c>
      <c r="H128" s="3">
        <v>3077.5</v>
      </c>
      <c r="I128" s="3">
        <f t="shared" si="9"/>
        <v>0</v>
      </c>
      <c r="J128" s="4">
        <f t="shared" si="5"/>
        <v>100</v>
      </c>
      <c r="K128" s="4">
        <f t="shared" si="8"/>
        <v>66.66738876131883</v>
      </c>
      <c r="L128" s="4">
        <f t="shared" si="6"/>
        <v>239.30000000000018</v>
      </c>
      <c r="M128" s="4">
        <f t="shared" si="7"/>
        <v>108.4314001832147</v>
      </c>
    </row>
    <row r="129" spans="1:13" ht="47.25">
      <c r="A129" s="82"/>
      <c r="B129" s="73"/>
      <c r="C129" s="35" t="s">
        <v>30</v>
      </c>
      <c r="D129" s="45" t="s">
        <v>31</v>
      </c>
      <c r="E129" s="3">
        <v>0</v>
      </c>
      <c r="F129" s="3">
        <v>0</v>
      </c>
      <c r="G129" s="3">
        <v>0</v>
      </c>
      <c r="H129" s="3">
        <v>-0.2</v>
      </c>
      <c r="I129" s="3">
        <f t="shared" si="9"/>
        <v>-0.2</v>
      </c>
      <c r="J129" s="4"/>
      <c r="K129" s="4"/>
      <c r="L129" s="4">
        <f t="shared" si="6"/>
        <v>-0.2</v>
      </c>
      <c r="M129" s="4"/>
    </row>
    <row r="130" spans="1:13" s="2" customFormat="1" ht="15.75">
      <c r="A130" s="82"/>
      <c r="B130" s="73"/>
      <c r="C130" s="62"/>
      <c r="D130" s="46" t="s">
        <v>32</v>
      </c>
      <c r="E130" s="7">
        <f>SUM(E124:E129)</f>
        <v>3684.3999999999996</v>
      </c>
      <c r="F130" s="7">
        <f>SUM(F124:F129)</f>
        <v>5923.299999999999</v>
      </c>
      <c r="G130" s="7">
        <f>SUM(G124:G129)</f>
        <v>3673.5</v>
      </c>
      <c r="H130" s="7">
        <f>SUM(H124:H129)</f>
        <v>4372</v>
      </c>
      <c r="I130" s="7">
        <f t="shared" si="9"/>
        <v>698.5</v>
      </c>
      <c r="J130" s="7">
        <f t="shared" si="5"/>
        <v>119.01456376752415</v>
      </c>
      <c r="K130" s="7">
        <f t="shared" si="8"/>
        <v>73.81020714804248</v>
      </c>
      <c r="L130" s="7">
        <f t="shared" si="6"/>
        <v>687.6000000000004</v>
      </c>
      <c r="M130" s="7">
        <f t="shared" si="7"/>
        <v>118.66246878731953</v>
      </c>
    </row>
    <row r="131" spans="1:13" ht="31.5">
      <c r="A131" s="73" t="s">
        <v>78</v>
      </c>
      <c r="B131" s="73" t="s">
        <v>79</v>
      </c>
      <c r="C131" s="35" t="s">
        <v>16</v>
      </c>
      <c r="D131" s="45" t="s">
        <v>17</v>
      </c>
      <c r="E131" s="3">
        <v>22.5</v>
      </c>
      <c r="F131" s="3">
        <v>0</v>
      </c>
      <c r="G131" s="3">
        <v>0</v>
      </c>
      <c r="H131" s="3">
        <v>206.1</v>
      </c>
      <c r="I131" s="3">
        <f t="shared" si="9"/>
        <v>206.1</v>
      </c>
      <c r="J131" s="4"/>
      <c r="K131" s="4"/>
      <c r="L131" s="4">
        <f t="shared" si="6"/>
        <v>183.6</v>
      </c>
      <c r="M131" s="4">
        <f t="shared" si="7"/>
        <v>916</v>
      </c>
    </row>
    <row r="132" spans="1:13" ht="15.75">
      <c r="A132" s="73"/>
      <c r="B132" s="73"/>
      <c r="C132" s="35" t="s">
        <v>20</v>
      </c>
      <c r="D132" s="45" t="s">
        <v>21</v>
      </c>
      <c r="E132" s="3">
        <v>888.1</v>
      </c>
      <c r="F132" s="3">
        <v>329.4</v>
      </c>
      <c r="G132" s="3">
        <v>169.4</v>
      </c>
      <c r="H132" s="3">
        <f>13.8+529.7+16</f>
        <v>559.5</v>
      </c>
      <c r="I132" s="3">
        <f t="shared" si="9"/>
        <v>390.1</v>
      </c>
      <c r="J132" s="4">
        <f t="shared" si="5"/>
        <v>330.2833530106257</v>
      </c>
      <c r="K132" s="4">
        <f t="shared" si="8"/>
        <v>169.85428051001824</v>
      </c>
      <c r="L132" s="4">
        <f t="shared" si="6"/>
        <v>-328.6</v>
      </c>
      <c r="M132" s="4">
        <f t="shared" si="7"/>
        <v>62.99966220020268</v>
      </c>
    </row>
    <row r="133" spans="1:13" ht="15.75">
      <c r="A133" s="73"/>
      <c r="B133" s="73"/>
      <c r="C133" s="35" t="s">
        <v>22</v>
      </c>
      <c r="D133" s="45" t="s">
        <v>23</v>
      </c>
      <c r="E133" s="3">
        <v>17.8</v>
      </c>
      <c r="F133" s="3">
        <v>0</v>
      </c>
      <c r="G133" s="3">
        <v>0</v>
      </c>
      <c r="H133" s="3">
        <v>8.1</v>
      </c>
      <c r="I133" s="3">
        <f t="shared" si="9"/>
        <v>8.1</v>
      </c>
      <c r="J133" s="4"/>
      <c r="K133" s="4"/>
      <c r="L133" s="4">
        <f t="shared" si="6"/>
        <v>-9.700000000000001</v>
      </c>
      <c r="M133" s="4">
        <f t="shared" si="7"/>
        <v>45.50561797752808</v>
      </c>
    </row>
    <row r="134" spans="1:13" ht="15.75">
      <c r="A134" s="73"/>
      <c r="B134" s="73"/>
      <c r="C134" s="35" t="s">
        <v>24</v>
      </c>
      <c r="D134" s="45" t="s">
        <v>25</v>
      </c>
      <c r="E134" s="3">
        <v>9.5</v>
      </c>
      <c r="F134" s="3">
        <v>0</v>
      </c>
      <c r="G134" s="3">
        <v>0</v>
      </c>
      <c r="H134" s="3">
        <v>0</v>
      </c>
      <c r="I134" s="3">
        <f t="shared" si="9"/>
        <v>0</v>
      </c>
      <c r="J134" s="4"/>
      <c r="K134" s="4"/>
      <c r="L134" s="4">
        <f aca="true" t="shared" si="10" ref="L134:L197">H134-E134</f>
        <v>-9.5</v>
      </c>
      <c r="M134" s="4">
        <f aca="true" t="shared" si="11" ref="M134:M197">H134/E134*100</f>
        <v>0</v>
      </c>
    </row>
    <row r="135" spans="1:13" ht="31.5">
      <c r="A135" s="73"/>
      <c r="B135" s="73"/>
      <c r="C135" s="35" t="s">
        <v>47</v>
      </c>
      <c r="D135" s="45" t="s">
        <v>48</v>
      </c>
      <c r="E135" s="3">
        <v>2324.9</v>
      </c>
      <c r="F135" s="3">
        <v>3612.7</v>
      </c>
      <c r="G135" s="3">
        <v>2375.6</v>
      </c>
      <c r="H135" s="3">
        <v>2375.6</v>
      </c>
      <c r="I135" s="3">
        <f t="shared" si="9"/>
        <v>0</v>
      </c>
      <c r="J135" s="4">
        <f aca="true" t="shared" si="12" ref="J135:J197">H135/G135*100</f>
        <v>100</v>
      </c>
      <c r="K135" s="4">
        <f aca="true" t="shared" si="13" ref="K135:K198">H135/F135*100</f>
        <v>65.75691311207684</v>
      </c>
      <c r="L135" s="4">
        <f t="shared" si="10"/>
        <v>50.69999999999982</v>
      </c>
      <c r="M135" s="4">
        <f t="shared" si="11"/>
        <v>102.18073895651425</v>
      </c>
    </row>
    <row r="136" spans="1:13" ht="47.25" hidden="1">
      <c r="A136" s="73"/>
      <c r="B136" s="73"/>
      <c r="C136" s="35" t="s">
        <v>30</v>
      </c>
      <c r="D136" s="45" t="s">
        <v>31</v>
      </c>
      <c r="E136" s="3">
        <v>0</v>
      </c>
      <c r="F136" s="3"/>
      <c r="G136" s="3"/>
      <c r="H136" s="3">
        <v>0</v>
      </c>
      <c r="I136" s="3">
        <f t="shared" si="9"/>
        <v>0</v>
      </c>
      <c r="J136" s="4" t="e">
        <f t="shared" si="12"/>
        <v>#DIV/0!</v>
      </c>
      <c r="K136" s="4" t="e">
        <f t="shared" si="13"/>
        <v>#DIV/0!</v>
      </c>
      <c r="L136" s="4">
        <f t="shared" si="10"/>
        <v>0</v>
      </c>
      <c r="M136" s="4" t="e">
        <f t="shared" si="11"/>
        <v>#DIV/0!</v>
      </c>
    </row>
    <row r="137" spans="1:13" s="2" customFormat="1" ht="15.75">
      <c r="A137" s="73"/>
      <c r="B137" s="73"/>
      <c r="C137" s="37"/>
      <c r="D137" s="46" t="s">
        <v>32</v>
      </c>
      <c r="E137" s="7">
        <f>SUM(E131:E136)</f>
        <v>3262.8</v>
      </c>
      <c r="F137" s="7">
        <f>SUM(F131:F136)</f>
        <v>3942.1</v>
      </c>
      <c r="G137" s="7">
        <f>SUM(G131:G136)</f>
        <v>2545</v>
      </c>
      <c r="H137" s="7">
        <f>SUM(H131:H136)</f>
        <v>3149.3</v>
      </c>
      <c r="I137" s="7">
        <f t="shared" si="9"/>
        <v>604.3000000000002</v>
      </c>
      <c r="J137" s="7">
        <f t="shared" si="12"/>
        <v>123.74459724950886</v>
      </c>
      <c r="K137" s="7">
        <f t="shared" si="13"/>
        <v>79.88889170746558</v>
      </c>
      <c r="L137" s="7">
        <f t="shared" si="10"/>
        <v>-113.5</v>
      </c>
      <c r="M137" s="7">
        <f t="shared" si="11"/>
        <v>96.52139266887336</v>
      </c>
    </row>
    <row r="138" spans="1:13" ht="31.5">
      <c r="A138" s="73" t="s">
        <v>80</v>
      </c>
      <c r="B138" s="73" t="s">
        <v>81</v>
      </c>
      <c r="C138" s="35" t="s">
        <v>16</v>
      </c>
      <c r="D138" s="45" t="s">
        <v>17</v>
      </c>
      <c r="E138" s="3">
        <v>0</v>
      </c>
      <c r="F138" s="3">
        <v>0</v>
      </c>
      <c r="G138" s="3">
        <v>0</v>
      </c>
      <c r="H138" s="3">
        <v>7.6</v>
      </c>
      <c r="I138" s="3">
        <f t="shared" si="9"/>
        <v>7.6</v>
      </c>
      <c r="J138" s="4"/>
      <c r="K138" s="4"/>
      <c r="L138" s="4">
        <f t="shared" si="10"/>
        <v>7.6</v>
      </c>
      <c r="M138" s="4"/>
    </row>
    <row r="139" spans="1:13" ht="15.75">
      <c r="A139" s="73"/>
      <c r="B139" s="73"/>
      <c r="C139" s="35" t="s">
        <v>20</v>
      </c>
      <c r="D139" s="45" t="s">
        <v>21</v>
      </c>
      <c r="E139" s="3">
        <v>233</v>
      </c>
      <c r="F139" s="3">
        <v>35.8</v>
      </c>
      <c r="G139" s="3">
        <v>23.8</v>
      </c>
      <c r="H139" s="3">
        <v>91.8</v>
      </c>
      <c r="I139" s="3">
        <f t="shared" si="9"/>
        <v>68</v>
      </c>
      <c r="J139" s="4">
        <f t="shared" si="12"/>
        <v>385.71428571428567</v>
      </c>
      <c r="K139" s="4">
        <f t="shared" si="13"/>
        <v>256.4245810055866</v>
      </c>
      <c r="L139" s="4">
        <f t="shared" si="10"/>
        <v>-141.2</v>
      </c>
      <c r="M139" s="4">
        <f t="shared" si="11"/>
        <v>39.39914163090128</v>
      </c>
    </row>
    <row r="140" spans="1:13" ht="15.75">
      <c r="A140" s="73"/>
      <c r="B140" s="73"/>
      <c r="C140" s="35" t="s">
        <v>22</v>
      </c>
      <c r="D140" s="45" t="s">
        <v>23</v>
      </c>
      <c r="E140" s="3">
        <v>0</v>
      </c>
      <c r="F140" s="3">
        <v>0</v>
      </c>
      <c r="G140" s="3">
        <v>0</v>
      </c>
      <c r="H140" s="3">
        <v>30</v>
      </c>
      <c r="I140" s="3">
        <f t="shared" si="9"/>
        <v>30</v>
      </c>
      <c r="J140" s="4"/>
      <c r="K140" s="4"/>
      <c r="L140" s="4">
        <f t="shared" si="10"/>
        <v>30</v>
      </c>
      <c r="M140" s="4"/>
    </row>
    <row r="141" spans="1:13" ht="31.5">
      <c r="A141" s="73"/>
      <c r="B141" s="73"/>
      <c r="C141" s="35" t="s">
        <v>47</v>
      </c>
      <c r="D141" s="45" t="s">
        <v>48</v>
      </c>
      <c r="E141" s="3">
        <v>214.1</v>
      </c>
      <c r="F141" s="3">
        <v>546.8</v>
      </c>
      <c r="G141" s="3">
        <v>364</v>
      </c>
      <c r="H141" s="3">
        <v>364</v>
      </c>
      <c r="I141" s="3">
        <f t="shared" si="9"/>
        <v>0</v>
      </c>
      <c r="J141" s="4">
        <f t="shared" si="12"/>
        <v>100</v>
      </c>
      <c r="K141" s="4">
        <f t="shared" si="13"/>
        <v>66.56912948061449</v>
      </c>
      <c r="L141" s="4">
        <f t="shared" si="10"/>
        <v>149.9</v>
      </c>
      <c r="M141" s="4">
        <f t="shared" si="11"/>
        <v>170.014012143858</v>
      </c>
    </row>
    <row r="142" spans="1:13" ht="47.25">
      <c r="A142" s="73"/>
      <c r="B142" s="73"/>
      <c r="C142" s="35" t="s">
        <v>30</v>
      </c>
      <c r="D142" s="45" t="s">
        <v>31</v>
      </c>
      <c r="E142" s="3">
        <v>0</v>
      </c>
      <c r="F142" s="3">
        <v>0</v>
      </c>
      <c r="G142" s="3">
        <v>0</v>
      </c>
      <c r="H142" s="3">
        <v>-4.9</v>
      </c>
      <c r="I142" s="3">
        <f t="shared" si="9"/>
        <v>-4.9</v>
      </c>
      <c r="J142" s="4"/>
      <c r="K142" s="4"/>
      <c r="L142" s="4">
        <f t="shared" si="10"/>
        <v>-4.9</v>
      </c>
      <c r="M142" s="4"/>
    </row>
    <row r="143" spans="1:13" s="2" customFormat="1" ht="15.75">
      <c r="A143" s="73"/>
      <c r="B143" s="73"/>
      <c r="C143" s="37"/>
      <c r="D143" s="46" t="s">
        <v>32</v>
      </c>
      <c r="E143" s="7">
        <f>SUM(E138:E142)</f>
        <v>447.1</v>
      </c>
      <c r="F143" s="7">
        <f>SUM(F138:F142)</f>
        <v>582.5999999999999</v>
      </c>
      <c r="G143" s="7">
        <f>SUM(G138:G142)</f>
        <v>387.8</v>
      </c>
      <c r="H143" s="7">
        <f>SUM(H138:H142)</f>
        <v>488.5</v>
      </c>
      <c r="I143" s="7">
        <f t="shared" si="9"/>
        <v>100.69999999999999</v>
      </c>
      <c r="J143" s="7">
        <f t="shared" si="12"/>
        <v>125.96699329551315</v>
      </c>
      <c r="K143" s="7">
        <f t="shared" si="13"/>
        <v>83.84826639203573</v>
      </c>
      <c r="L143" s="7">
        <f t="shared" si="10"/>
        <v>41.39999999999998</v>
      </c>
      <c r="M143" s="7">
        <f t="shared" si="11"/>
        <v>109.2596734511295</v>
      </c>
    </row>
    <row r="144" spans="1:13" s="2" customFormat="1" ht="110.25">
      <c r="A144" s="73" t="s">
        <v>82</v>
      </c>
      <c r="B144" s="73" t="s">
        <v>83</v>
      </c>
      <c r="C144" s="35" t="s">
        <v>63</v>
      </c>
      <c r="D144" s="45" t="s">
        <v>64</v>
      </c>
      <c r="E144" s="4">
        <v>77.1</v>
      </c>
      <c r="F144" s="9">
        <v>0</v>
      </c>
      <c r="G144" s="9">
        <v>0</v>
      </c>
      <c r="H144" s="4">
        <v>43.1</v>
      </c>
      <c r="I144" s="4">
        <f aca="true" t="shared" si="14" ref="I144:I213">H144-G144</f>
        <v>43.1</v>
      </c>
      <c r="J144" s="4"/>
      <c r="K144" s="4"/>
      <c r="L144" s="4">
        <f t="shared" si="10"/>
        <v>-33.99999999999999</v>
      </c>
      <c r="M144" s="4">
        <f t="shared" si="11"/>
        <v>55.90142671854734</v>
      </c>
    </row>
    <row r="145" spans="1:13" s="2" customFormat="1" ht="63">
      <c r="A145" s="73"/>
      <c r="B145" s="73"/>
      <c r="C145" s="35" t="s">
        <v>12</v>
      </c>
      <c r="D145" s="44" t="s">
        <v>13</v>
      </c>
      <c r="E145" s="4">
        <v>2198.6</v>
      </c>
      <c r="F145" s="4">
        <v>3301.5</v>
      </c>
      <c r="G145" s="4">
        <v>3301.5</v>
      </c>
      <c r="H145" s="4">
        <v>7725.1</v>
      </c>
      <c r="I145" s="4">
        <f t="shared" si="14"/>
        <v>4423.6</v>
      </c>
      <c r="J145" s="4">
        <f t="shared" si="12"/>
        <v>233.98758140239283</v>
      </c>
      <c r="K145" s="4">
        <f t="shared" si="13"/>
        <v>233.98758140239283</v>
      </c>
      <c r="L145" s="4">
        <f t="shared" si="10"/>
        <v>5526.5</v>
      </c>
      <c r="M145" s="4">
        <f t="shared" si="11"/>
        <v>351.36450468479944</v>
      </c>
    </row>
    <row r="146" spans="1:13" ht="94.5" hidden="1">
      <c r="A146" s="73"/>
      <c r="B146" s="73"/>
      <c r="C146" s="36" t="s">
        <v>14</v>
      </c>
      <c r="D146" s="44" t="s">
        <v>15</v>
      </c>
      <c r="E146" s="3"/>
      <c r="F146" s="3">
        <v>0</v>
      </c>
      <c r="G146" s="3">
        <v>0</v>
      </c>
      <c r="H146" s="3">
        <v>0</v>
      </c>
      <c r="I146" s="3">
        <f t="shared" si="14"/>
        <v>0</v>
      </c>
      <c r="J146" s="4" t="e">
        <f t="shared" si="12"/>
        <v>#DIV/0!</v>
      </c>
      <c r="K146" s="4" t="e">
        <f t="shared" si="13"/>
        <v>#DIV/0!</v>
      </c>
      <c r="L146" s="4">
        <f t="shared" si="10"/>
        <v>0</v>
      </c>
      <c r="M146" s="4" t="e">
        <f t="shared" si="11"/>
        <v>#DIV/0!</v>
      </c>
    </row>
    <row r="147" spans="1:13" ht="31.5">
      <c r="A147" s="73"/>
      <c r="B147" s="73"/>
      <c r="C147" s="35" t="s">
        <v>16</v>
      </c>
      <c r="D147" s="45" t="s">
        <v>17</v>
      </c>
      <c r="E147" s="4">
        <v>219.3</v>
      </c>
      <c r="F147" s="3">
        <v>0</v>
      </c>
      <c r="G147" s="3">
        <v>0</v>
      </c>
      <c r="H147" s="4">
        <v>1357.6</v>
      </c>
      <c r="I147" s="4">
        <f t="shared" si="14"/>
        <v>1357.6</v>
      </c>
      <c r="J147" s="4"/>
      <c r="K147" s="4"/>
      <c r="L147" s="4">
        <f t="shared" si="10"/>
        <v>1138.3</v>
      </c>
      <c r="M147" s="4">
        <f t="shared" si="11"/>
        <v>619.0606475148198</v>
      </c>
    </row>
    <row r="148" spans="1:13" ht="110.25" hidden="1">
      <c r="A148" s="73"/>
      <c r="B148" s="73"/>
      <c r="C148" s="36" t="s">
        <v>65</v>
      </c>
      <c r="D148" s="44" t="s">
        <v>66</v>
      </c>
      <c r="E148" s="4">
        <v>0</v>
      </c>
      <c r="F148" s="3">
        <v>0</v>
      </c>
      <c r="G148" s="3">
        <v>0</v>
      </c>
      <c r="H148" s="4">
        <v>0</v>
      </c>
      <c r="I148" s="4">
        <f t="shared" si="14"/>
        <v>0</v>
      </c>
      <c r="J148" s="4"/>
      <c r="K148" s="4"/>
      <c r="L148" s="4">
        <f t="shared" si="10"/>
        <v>0</v>
      </c>
      <c r="M148" s="4" t="e">
        <f t="shared" si="11"/>
        <v>#DIV/0!</v>
      </c>
    </row>
    <row r="149" spans="1:13" ht="15.75">
      <c r="A149" s="73"/>
      <c r="B149" s="73"/>
      <c r="C149" s="35" t="s">
        <v>20</v>
      </c>
      <c r="D149" s="45" t="s">
        <v>21</v>
      </c>
      <c r="E149" s="3">
        <v>220.9</v>
      </c>
      <c r="F149" s="3">
        <v>0</v>
      </c>
      <c r="G149" s="3">
        <v>0</v>
      </c>
      <c r="H149" s="3">
        <f>25+215.6+87.8</f>
        <v>328.4</v>
      </c>
      <c r="I149" s="3">
        <f t="shared" si="14"/>
        <v>328.4</v>
      </c>
      <c r="J149" s="4"/>
      <c r="K149" s="4"/>
      <c r="L149" s="4">
        <f t="shared" si="10"/>
        <v>107.49999999999997</v>
      </c>
      <c r="M149" s="4">
        <f t="shared" si="11"/>
        <v>148.6645540968764</v>
      </c>
    </row>
    <row r="150" spans="1:13" ht="15.75">
      <c r="A150" s="73"/>
      <c r="B150" s="73"/>
      <c r="C150" s="35" t="s">
        <v>22</v>
      </c>
      <c r="D150" s="45" t="s">
        <v>23</v>
      </c>
      <c r="E150" s="3">
        <v>0</v>
      </c>
      <c r="F150" s="3">
        <v>0</v>
      </c>
      <c r="G150" s="3">
        <v>0</v>
      </c>
      <c r="H150" s="3">
        <v>18.8</v>
      </c>
      <c r="I150" s="3">
        <f t="shared" si="14"/>
        <v>18.8</v>
      </c>
      <c r="J150" s="4"/>
      <c r="K150" s="4"/>
      <c r="L150" s="4">
        <f t="shared" si="10"/>
        <v>18.8</v>
      </c>
      <c r="M150" s="4"/>
    </row>
    <row r="151" spans="1:13" ht="15.75">
      <c r="A151" s="73"/>
      <c r="B151" s="73"/>
      <c r="C151" s="35" t="s">
        <v>24</v>
      </c>
      <c r="D151" s="45" t="s">
        <v>25</v>
      </c>
      <c r="E151" s="3">
        <v>0</v>
      </c>
      <c r="F151" s="3">
        <v>0</v>
      </c>
      <c r="G151" s="3">
        <v>0</v>
      </c>
      <c r="H151" s="3">
        <v>131.8</v>
      </c>
      <c r="I151" s="3">
        <f t="shared" si="14"/>
        <v>131.8</v>
      </c>
      <c r="J151" s="4"/>
      <c r="K151" s="4"/>
      <c r="L151" s="4">
        <f t="shared" si="10"/>
        <v>131.8</v>
      </c>
      <c r="M151" s="4"/>
    </row>
    <row r="152" spans="1:13" ht="31.5">
      <c r="A152" s="73"/>
      <c r="B152" s="73"/>
      <c r="C152" s="35" t="s">
        <v>26</v>
      </c>
      <c r="D152" s="45" t="s">
        <v>27</v>
      </c>
      <c r="E152" s="3">
        <v>63882</v>
      </c>
      <c r="F152" s="4">
        <f>322044.9+90161.4</f>
        <v>412206.30000000005</v>
      </c>
      <c r="G152" s="4">
        <f>67216.2+45080.7+30207.2</f>
        <v>142504.1</v>
      </c>
      <c r="H152" s="3">
        <v>142504.1</v>
      </c>
      <c r="I152" s="3">
        <f t="shared" si="14"/>
        <v>0</v>
      </c>
      <c r="J152" s="4">
        <f t="shared" si="12"/>
        <v>100</v>
      </c>
      <c r="K152" s="4">
        <f t="shared" si="13"/>
        <v>34.5710630817627</v>
      </c>
      <c r="L152" s="4">
        <f t="shared" si="10"/>
        <v>78622.1</v>
      </c>
      <c r="M152" s="4">
        <f t="shared" si="11"/>
        <v>223.0739488431796</v>
      </c>
    </row>
    <row r="153" spans="1:13" ht="15.75" hidden="1">
      <c r="A153" s="73"/>
      <c r="B153" s="73"/>
      <c r="C153" s="35" t="s">
        <v>28</v>
      </c>
      <c r="D153" s="45" t="s">
        <v>29</v>
      </c>
      <c r="E153" s="3">
        <v>0</v>
      </c>
      <c r="F153" s="4"/>
      <c r="G153" s="4"/>
      <c r="H153" s="3">
        <v>0</v>
      </c>
      <c r="I153" s="3">
        <f t="shared" si="14"/>
        <v>0</v>
      </c>
      <c r="J153" s="4" t="e">
        <f t="shared" si="12"/>
        <v>#DIV/0!</v>
      </c>
      <c r="K153" s="4" t="e">
        <f t="shared" si="13"/>
        <v>#DIV/0!</v>
      </c>
      <c r="L153" s="4">
        <f t="shared" si="10"/>
        <v>0</v>
      </c>
      <c r="M153" s="4" t="e">
        <f t="shared" si="11"/>
        <v>#DIV/0!</v>
      </c>
    </row>
    <row r="154" spans="1:13" ht="47.25">
      <c r="A154" s="73"/>
      <c r="B154" s="73"/>
      <c r="C154" s="35" t="s">
        <v>30</v>
      </c>
      <c r="D154" s="45" t="s">
        <v>31</v>
      </c>
      <c r="E154" s="3">
        <v>0</v>
      </c>
      <c r="F154" s="4">
        <v>0</v>
      </c>
      <c r="G154" s="4">
        <v>0</v>
      </c>
      <c r="H154" s="3">
        <v>-1808</v>
      </c>
      <c r="I154" s="3">
        <f t="shared" si="14"/>
        <v>-1808</v>
      </c>
      <c r="J154" s="4"/>
      <c r="K154" s="4"/>
      <c r="L154" s="4">
        <f t="shared" si="10"/>
        <v>-1808</v>
      </c>
      <c r="M154" s="4"/>
    </row>
    <row r="155" spans="1:13" s="2" customFormat="1" ht="15.75">
      <c r="A155" s="73"/>
      <c r="B155" s="73"/>
      <c r="C155" s="62"/>
      <c r="D155" s="46" t="s">
        <v>37</v>
      </c>
      <c r="E155" s="7">
        <f>SUM(E144:E154)</f>
        <v>66597.9</v>
      </c>
      <c r="F155" s="7">
        <f>SUM(F144:F154)</f>
        <v>415507.80000000005</v>
      </c>
      <c r="G155" s="7">
        <f>SUM(G144:G154)</f>
        <v>145805.6</v>
      </c>
      <c r="H155" s="7">
        <f>SUM(H144:H154)</f>
        <v>150300.9</v>
      </c>
      <c r="I155" s="7">
        <f t="shared" si="14"/>
        <v>4495.299999999988</v>
      </c>
      <c r="J155" s="7">
        <f t="shared" si="12"/>
        <v>103.08307774187</v>
      </c>
      <c r="K155" s="7">
        <f t="shared" si="13"/>
        <v>36.17282274845381</v>
      </c>
      <c r="L155" s="7">
        <f t="shared" si="10"/>
        <v>83703</v>
      </c>
      <c r="M155" s="7">
        <f t="shared" si="11"/>
        <v>225.6841431937043</v>
      </c>
    </row>
    <row r="156" spans="1:13" ht="15.75">
      <c r="A156" s="73"/>
      <c r="B156" s="73"/>
      <c r="C156" s="35" t="s">
        <v>20</v>
      </c>
      <c r="D156" s="45" t="s">
        <v>21</v>
      </c>
      <c r="E156" s="3">
        <v>12084.5</v>
      </c>
      <c r="F156" s="3">
        <v>0</v>
      </c>
      <c r="G156" s="3">
        <v>0</v>
      </c>
      <c r="H156" s="3">
        <v>0</v>
      </c>
      <c r="I156" s="3">
        <f t="shared" si="14"/>
        <v>0</v>
      </c>
      <c r="J156" s="4"/>
      <c r="K156" s="4"/>
      <c r="L156" s="4">
        <f t="shared" si="10"/>
        <v>-12084.5</v>
      </c>
      <c r="M156" s="4">
        <f t="shared" si="11"/>
        <v>0</v>
      </c>
    </row>
    <row r="157" spans="1:13" s="2" customFormat="1" ht="15.75">
      <c r="A157" s="73"/>
      <c r="B157" s="73"/>
      <c r="C157" s="62"/>
      <c r="D157" s="46" t="s">
        <v>42</v>
      </c>
      <c r="E157" s="7">
        <f>SUM(E156)</f>
        <v>12084.5</v>
      </c>
      <c r="F157" s="7">
        <f>SUM(F156)</f>
        <v>0</v>
      </c>
      <c r="G157" s="7">
        <f>SUM(G156)</f>
        <v>0</v>
      </c>
      <c r="H157" s="7">
        <f>SUM(H156)</f>
        <v>0</v>
      </c>
      <c r="I157" s="7">
        <f t="shared" si="14"/>
        <v>0</v>
      </c>
      <c r="J157" s="4"/>
      <c r="K157" s="4"/>
      <c r="L157" s="4">
        <f t="shared" si="10"/>
        <v>-12084.5</v>
      </c>
      <c r="M157" s="4">
        <f t="shared" si="11"/>
        <v>0</v>
      </c>
    </row>
    <row r="158" spans="1:13" s="2" customFormat="1" ht="15.75">
      <c r="A158" s="73"/>
      <c r="B158" s="73"/>
      <c r="C158" s="62"/>
      <c r="D158" s="46" t="s">
        <v>32</v>
      </c>
      <c r="E158" s="7">
        <f>E155+E157</f>
        <v>78682.4</v>
      </c>
      <c r="F158" s="7">
        <f>F155+F157</f>
        <v>415507.80000000005</v>
      </c>
      <c r="G158" s="7">
        <f>G155+G157</f>
        <v>145805.6</v>
      </c>
      <c r="H158" s="7">
        <f>H155+H157</f>
        <v>150300.9</v>
      </c>
      <c r="I158" s="7">
        <f t="shared" si="14"/>
        <v>4495.299999999988</v>
      </c>
      <c r="J158" s="7">
        <f t="shared" si="12"/>
        <v>103.08307774187</v>
      </c>
      <c r="K158" s="7">
        <f t="shared" si="13"/>
        <v>36.17282274845381</v>
      </c>
      <c r="L158" s="7">
        <f t="shared" si="10"/>
        <v>71618.5</v>
      </c>
      <c r="M158" s="7">
        <f t="shared" si="11"/>
        <v>191.02226164936505</v>
      </c>
    </row>
    <row r="159" spans="1:13" s="2" customFormat="1" ht="110.25">
      <c r="A159" s="89">
        <v>942</v>
      </c>
      <c r="B159" s="73" t="s">
        <v>84</v>
      </c>
      <c r="C159" s="35" t="s">
        <v>63</v>
      </c>
      <c r="D159" s="45" t="s">
        <v>64</v>
      </c>
      <c r="E159" s="4">
        <v>773.3</v>
      </c>
      <c r="F159" s="9">
        <v>0</v>
      </c>
      <c r="G159" s="9">
        <v>0</v>
      </c>
      <c r="H159" s="4">
        <v>339.5</v>
      </c>
      <c r="I159" s="4">
        <f t="shared" si="14"/>
        <v>339.5</v>
      </c>
      <c r="J159" s="4"/>
      <c r="K159" s="4"/>
      <c r="L159" s="4">
        <f t="shared" si="10"/>
        <v>-433.79999999999995</v>
      </c>
      <c r="M159" s="4">
        <f t="shared" si="11"/>
        <v>43.90275442907022</v>
      </c>
    </row>
    <row r="160" spans="1:13" s="2" customFormat="1" ht="31.5">
      <c r="A160" s="89"/>
      <c r="B160" s="73"/>
      <c r="C160" s="35" t="s">
        <v>16</v>
      </c>
      <c r="D160" s="45" t="s">
        <v>17</v>
      </c>
      <c r="E160" s="4">
        <v>121.9</v>
      </c>
      <c r="F160" s="9">
        <v>0</v>
      </c>
      <c r="G160" s="9">
        <v>0</v>
      </c>
      <c r="H160" s="4">
        <v>34.7</v>
      </c>
      <c r="I160" s="4">
        <f t="shared" si="14"/>
        <v>34.7</v>
      </c>
      <c r="J160" s="4"/>
      <c r="K160" s="4"/>
      <c r="L160" s="4">
        <f t="shared" si="10"/>
        <v>-87.2</v>
      </c>
      <c r="M160" s="4">
        <f t="shared" si="11"/>
        <v>28.465955701394584</v>
      </c>
    </row>
    <row r="161" spans="1:13" s="2" customFormat="1" ht="97.5" customHeight="1">
      <c r="A161" s="89"/>
      <c r="B161" s="73"/>
      <c r="C161" s="36" t="s">
        <v>65</v>
      </c>
      <c r="D161" s="44" t="s">
        <v>66</v>
      </c>
      <c r="E161" s="4">
        <v>0.7</v>
      </c>
      <c r="F161" s="9">
        <v>0</v>
      </c>
      <c r="G161" s="9">
        <v>0</v>
      </c>
      <c r="H161" s="4">
        <v>0</v>
      </c>
      <c r="I161" s="4">
        <f t="shared" si="14"/>
        <v>0</v>
      </c>
      <c r="J161" s="4"/>
      <c r="K161" s="4"/>
      <c r="L161" s="4">
        <f t="shared" si="10"/>
        <v>-0.7</v>
      </c>
      <c r="M161" s="4">
        <f t="shared" si="11"/>
        <v>0</v>
      </c>
    </row>
    <row r="162" spans="1:13" s="2" customFormat="1" ht="15.75">
      <c r="A162" s="89"/>
      <c r="B162" s="73"/>
      <c r="C162" s="35" t="s">
        <v>20</v>
      </c>
      <c r="D162" s="45" t="s">
        <v>21</v>
      </c>
      <c r="E162" s="4">
        <v>4287.1</v>
      </c>
      <c r="F162" s="4">
        <v>0</v>
      </c>
      <c r="G162" s="4">
        <v>0</v>
      </c>
      <c r="H162" s="4">
        <f>5888.6+974.4</f>
        <v>6863</v>
      </c>
      <c r="I162" s="4">
        <f t="shared" si="14"/>
        <v>6863</v>
      </c>
      <c r="J162" s="4"/>
      <c r="K162" s="4"/>
      <c r="L162" s="4">
        <f t="shared" si="10"/>
        <v>2575.8999999999996</v>
      </c>
      <c r="M162" s="4">
        <f t="shared" si="11"/>
        <v>160.084905880432</v>
      </c>
    </row>
    <row r="163" spans="1:13" s="2" customFormat="1" ht="15.75">
      <c r="A163" s="89"/>
      <c r="B163" s="73"/>
      <c r="C163" s="35" t="s">
        <v>22</v>
      </c>
      <c r="D163" s="45" t="s">
        <v>23</v>
      </c>
      <c r="E163" s="4">
        <v>0</v>
      </c>
      <c r="F163" s="9">
        <v>0</v>
      </c>
      <c r="G163" s="9">
        <v>0</v>
      </c>
      <c r="H163" s="4">
        <v>-2.1</v>
      </c>
      <c r="I163" s="4">
        <f t="shared" si="14"/>
        <v>-2.1</v>
      </c>
      <c r="J163" s="4"/>
      <c r="K163" s="4"/>
      <c r="L163" s="4">
        <f t="shared" si="10"/>
        <v>-2.1</v>
      </c>
      <c r="M163" s="4"/>
    </row>
    <row r="164" spans="1:13" s="2" customFormat="1" ht="31.5">
      <c r="A164" s="89"/>
      <c r="B164" s="73"/>
      <c r="C164" s="35" t="s">
        <v>26</v>
      </c>
      <c r="D164" s="45" t="s">
        <v>27</v>
      </c>
      <c r="E164" s="4">
        <v>40861.2</v>
      </c>
      <c r="F164" s="4">
        <v>1508691.4</v>
      </c>
      <c r="G164" s="4">
        <f>552478+63736.8+1217.5</f>
        <v>617432.3</v>
      </c>
      <c r="H164" s="4">
        <v>616929.9</v>
      </c>
      <c r="I164" s="4">
        <f t="shared" si="14"/>
        <v>-502.4000000000233</v>
      </c>
      <c r="J164" s="4">
        <f t="shared" si="12"/>
        <v>99.91863075514513</v>
      </c>
      <c r="K164" s="4">
        <f t="shared" si="13"/>
        <v>40.891722455632745</v>
      </c>
      <c r="L164" s="4">
        <f t="shared" si="10"/>
        <v>576068.7000000001</v>
      </c>
      <c r="M164" s="4">
        <f t="shared" si="11"/>
        <v>1509.818360694253</v>
      </c>
    </row>
    <row r="165" spans="1:13" s="2" customFormat="1" ht="47.25" hidden="1">
      <c r="A165" s="89"/>
      <c r="B165" s="73"/>
      <c r="C165" s="35" t="s">
        <v>30</v>
      </c>
      <c r="D165" s="45" t="s">
        <v>31</v>
      </c>
      <c r="E165" s="4">
        <v>0</v>
      </c>
      <c r="F165" s="4">
        <v>0</v>
      </c>
      <c r="G165" s="4">
        <v>0</v>
      </c>
      <c r="H165" s="4">
        <v>0</v>
      </c>
      <c r="I165" s="4">
        <f t="shared" si="14"/>
        <v>0</v>
      </c>
      <c r="J165" s="4" t="e">
        <f t="shared" si="12"/>
        <v>#DIV/0!</v>
      </c>
      <c r="K165" s="4" t="e">
        <f t="shared" si="13"/>
        <v>#DIV/0!</v>
      </c>
      <c r="L165" s="4">
        <f t="shared" si="10"/>
        <v>0</v>
      </c>
      <c r="M165" s="4" t="e">
        <f t="shared" si="11"/>
        <v>#DIV/0!</v>
      </c>
    </row>
    <row r="166" spans="1:13" s="2" customFormat="1" ht="15.75">
      <c r="A166" s="89"/>
      <c r="B166" s="73"/>
      <c r="C166" s="62"/>
      <c r="D166" s="46" t="s">
        <v>32</v>
      </c>
      <c r="E166" s="7">
        <f>SUM(E159:E165)</f>
        <v>46044.2</v>
      </c>
      <c r="F166" s="7">
        <f>SUM(F159:F165)</f>
        <v>1508691.4</v>
      </c>
      <c r="G166" s="7">
        <f>SUM(G159:G165)</f>
        <v>617432.3</v>
      </c>
      <c r="H166" s="7">
        <f>SUM(H159:H165)</f>
        <v>624165</v>
      </c>
      <c r="I166" s="7">
        <f t="shared" si="14"/>
        <v>6732.699999999953</v>
      </c>
      <c r="J166" s="7">
        <f t="shared" si="12"/>
        <v>101.09043534003645</v>
      </c>
      <c r="K166" s="7">
        <f t="shared" si="13"/>
        <v>41.37128374961242</v>
      </c>
      <c r="L166" s="7">
        <f t="shared" si="10"/>
        <v>578120.8</v>
      </c>
      <c r="M166" s="7">
        <f t="shared" si="11"/>
        <v>1355.5779012340317</v>
      </c>
    </row>
    <row r="167" spans="1:13" s="2" customFormat="1" ht="15.75">
      <c r="A167" s="73" t="s">
        <v>85</v>
      </c>
      <c r="B167" s="73" t="s">
        <v>144</v>
      </c>
      <c r="C167" s="35" t="s">
        <v>38</v>
      </c>
      <c r="D167" s="45" t="s">
        <v>39</v>
      </c>
      <c r="E167" s="3">
        <v>1163.2</v>
      </c>
      <c r="F167" s="3">
        <v>1758.4</v>
      </c>
      <c r="G167" s="3">
        <v>1113.2</v>
      </c>
      <c r="H167" s="3">
        <v>863</v>
      </c>
      <c r="I167" s="3">
        <f t="shared" si="14"/>
        <v>-250.20000000000005</v>
      </c>
      <c r="J167" s="4">
        <f t="shared" si="12"/>
        <v>77.52425440172476</v>
      </c>
      <c r="K167" s="4">
        <f t="shared" si="13"/>
        <v>49.078707916287534</v>
      </c>
      <c r="L167" s="4">
        <f t="shared" si="10"/>
        <v>-300.20000000000005</v>
      </c>
      <c r="M167" s="4">
        <f t="shared" si="11"/>
        <v>74.19188445667125</v>
      </c>
    </row>
    <row r="168" spans="1:13" s="2" customFormat="1" ht="15.75">
      <c r="A168" s="73"/>
      <c r="B168" s="73"/>
      <c r="C168" s="35" t="s">
        <v>51</v>
      </c>
      <c r="D168" s="44" t="s">
        <v>52</v>
      </c>
      <c r="E168" s="3">
        <v>719.2</v>
      </c>
      <c r="F168" s="3">
        <v>0</v>
      </c>
      <c r="G168" s="3">
        <v>0</v>
      </c>
      <c r="H168" s="3">
        <v>507.6</v>
      </c>
      <c r="I168" s="3">
        <f t="shared" si="14"/>
        <v>507.6</v>
      </c>
      <c r="J168" s="4"/>
      <c r="K168" s="4"/>
      <c r="L168" s="4">
        <f t="shared" si="10"/>
        <v>-211.60000000000002</v>
      </c>
      <c r="M168" s="4">
        <f t="shared" si="11"/>
        <v>70.57842046718577</v>
      </c>
    </row>
    <row r="169" spans="1:13" s="2" customFormat="1" ht="80.25" customHeight="1">
      <c r="A169" s="73"/>
      <c r="B169" s="73"/>
      <c r="C169" s="35" t="s">
        <v>91</v>
      </c>
      <c r="D169" s="44" t="s">
        <v>92</v>
      </c>
      <c r="E169" s="3">
        <v>52796.1</v>
      </c>
      <c r="F169" s="3">
        <v>91955.4</v>
      </c>
      <c r="G169" s="3">
        <v>58660.2</v>
      </c>
      <c r="H169" s="3">
        <v>37413.2</v>
      </c>
      <c r="I169" s="3">
        <f t="shared" si="14"/>
        <v>-21247</v>
      </c>
      <c r="J169" s="4">
        <f t="shared" si="12"/>
        <v>63.779530243674586</v>
      </c>
      <c r="K169" s="4">
        <f t="shared" si="13"/>
        <v>40.686245723470286</v>
      </c>
      <c r="L169" s="4">
        <f t="shared" si="10"/>
        <v>-15382.900000000001</v>
      </c>
      <c r="M169" s="4">
        <f t="shared" si="11"/>
        <v>70.86356757412005</v>
      </c>
    </row>
    <row r="170" spans="1:13" s="2" customFormat="1" ht="141.75" hidden="1">
      <c r="A170" s="73"/>
      <c r="B170" s="73"/>
      <c r="C170" s="35" t="s">
        <v>86</v>
      </c>
      <c r="D170" s="44" t="s">
        <v>87</v>
      </c>
      <c r="E170" s="3">
        <v>0</v>
      </c>
      <c r="F170" s="3">
        <v>0</v>
      </c>
      <c r="G170" s="3">
        <v>0</v>
      </c>
      <c r="H170" s="3">
        <v>0</v>
      </c>
      <c r="I170" s="3">
        <f t="shared" si="14"/>
        <v>0</v>
      </c>
      <c r="J170" s="4" t="e">
        <f t="shared" si="12"/>
        <v>#DIV/0!</v>
      </c>
      <c r="K170" s="4" t="e">
        <f t="shared" si="13"/>
        <v>#DIV/0!</v>
      </c>
      <c r="L170" s="4">
        <f t="shared" si="10"/>
        <v>0</v>
      </c>
      <c r="M170" s="4" t="e">
        <f t="shared" si="11"/>
        <v>#DIV/0!</v>
      </c>
    </row>
    <row r="171" spans="1:13" s="2" customFormat="1" ht="110.25">
      <c r="A171" s="73"/>
      <c r="B171" s="73"/>
      <c r="C171" s="35" t="s">
        <v>63</v>
      </c>
      <c r="D171" s="49" t="s">
        <v>64</v>
      </c>
      <c r="E171" s="3">
        <v>689.8</v>
      </c>
      <c r="F171" s="3">
        <v>1235.2</v>
      </c>
      <c r="G171" s="3">
        <v>684.7</v>
      </c>
      <c r="H171" s="3">
        <v>531.8</v>
      </c>
      <c r="I171" s="3">
        <f t="shared" si="14"/>
        <v>-152.9000000000001</v>
      </c>
      <c r="J171" s="4">
        <f t="shared" si="12"/>
        <v>77.66905213962319</v>
      </c>
      <c r="K171" s="4">
        <f t="shared" si="13"/>
        <v>43.05375647668393</v>
      </c>
      <c r="L171" s="4">
        <f t="shared" si="10"/>
        <v>-158</v>
      </c>
      <c r="M171" s="4">
        <f t="shared" si="11"/>
        <v>77.09481008988112</v>
      </c>
    </row>
    <row r="172" spans="1:13" s="2" customFormat="1" ht="63">
      <c r="A172" s="73"/>
      <c r="B172" s="73"/>
      <c r="C172" s="35" t="s">
        <v>12</v>
      </c>
      <c r="D172" s="44" t="s">
        <v>13</v>
      </c>
      <c r="E172" s="3">
        <v>9274.1</v>
      </c>
      <c r="F172" s="3">
        <v>6398</v>
      </c>
      <c r="G172" s="3">
        <v>6398</v>
      </c>
      <c r="H172" s="3">
        <v>5700.2</v>
      </c>
      <c r="I172" s="3">
        <f t="shared" si="14"/>
        <v>-697.8000000000002</v>
      </c>
      <c r="J172" s="4">
        <f t="shared" si="12"/>
        <v>89.09346670834636</v>
      </c>
      <c r="K172" s="4">
        <f t="shared" si="13"/>
        <v>89.09346670834636</v>
      </c>
      <c r="L172" s="4">
        <f t="shared" si="10"/>
        <v>-3573.9000000000005</v>
      </c>
      <c r="M172" s="4">
        <f t="shared" si="11"/>
        <v>61.46364606808208</v>
      </c>
    </row>
    <row r="173" spans="1:13" s="2" customFormat="1" ht="31.5">
      <c r="A173" s="73"/>
      <c r="B173" s="73"/>
      <c r="C173" s="35" t="s">
        <v>16</v>
      </c>
      <c r="D173" s="45" t="s">
        <v>17</v>
      </c>
      <c r="E173" s="3">
        <v>412.8</v>
      </c>
      <c r="F173" s="3">
        <v>13778.7</v>
      </c>
      <c r="G173" s="3">
        <f>35+13708.5</f>
        <v>13743.5</v>
      </c>
      <c r="H173" s="3">
        <v>13867.5</v>
      </c>
      <c r="I173" s="3">
        <f t="shared" si="14"/>
        <v>124</v>
      </c>
      <c r="J173" s="4">
        <f t="shared" si="12"/>
        <v>100.90224469749336</v>
      </c>
      <c r="K173" s="4">
        <f t="shared" si="13"/>
        <v>100.64447299092076</v>
      </c>
      <c r="L173" s="4">
        <f t="shared" si="10"/>
        <v>13454.7</v>
      </c>
      <c r="M173" s="4">
        <f t="shared" si="11"/>
        <v>3359.375</v>
      </c>
    </row>
    <row r="174" spans="1:13" s="2" customFormat="1" ht="110.25" hidden="1">
      <c r="A174" s="73"/>
      <c r="B174" s="73"/>
      <c r="C174" s="36" t="s">
        <v>65</v>
      </c>
      <c r="D174" s="44" t="s">
        <v>66</v>
      </c>
      <c r="E174" s="4"/>
      <c r="F174" s="9">
        <v>0</v>
      </c>
      <c r="G174" s="9">
        <v>0</v>
      </c>
      <c r="H174" s="4">
        <v>0</v>
      </c>
      <c r="I174" s="4">
        <f t="shared" si="14"/>
        <v>0</v>
      </c>
      <c r="J174" s="4" t="e">
        <f t="shared" si="12"/>
        <v>#DIV/0!</v>
      </c>
      <c r="K174" s="4" t="e">
        <f t="shared" si="13"/>
        <v>#DIV/0!</v>
      </c>
      <c r="L174" s="4">
        <f t="shared" si="10"/>
        <v>0</v>
      </c>
      <c r="M174" s="4" t="e">
        <f t="shared" si="11"/>
        <v>#DIV/0!</v>
      </c>
    </row>
    <row r="175" spans="1:13" ht="15.75">
      <c r="A175" s="73"/>
      <c r="B175" s="73"/>
      <c r="C175" s="35" t="s">
        <v>20</v>
      </c>
      <c r="D175" s="45" t="s">
        <v>21</v>
      </c>
      <c r="E175" s="3">
        <v>56380</v>
      </c>
      <c r="F175" s="3">
        <v>79520.3</v>
      </c>
      <c r="G175" s="3">
        <f>50545.6+1548.4</f>
        <v>52094</v>
      </c>
      <c r="H175" s="3">
        <f>21593+4251.1+18318.8+1334.4</f>
        <v>45497.299999999996</v>
      </c>
      <c r="I175" s="3">
        <f t="shared" si="14"/>
        <v>-6596.700000000004</v>
      </c>
      <c r="J175" s="4">
        <f t="shared" si="12"/>
        <v>87.33692939685952</v>
      </c>
      <c r="K175" s="4">
        <f t="shared" si="13"/>
        <v>57.21469863670031</v>
      </c>
      <c r="L175" s="4">
        <f t="shared" si="10"/>
        <v>-10882.700000000004</v>
      </c>
      <c r="M175" s="4">
        <f t="shared" si="11"/>
        <v>80.69758779709116</v>
      </c>
    </row>
    <row r="176" spans="1:13" ht="15.75">
      <c r="A176" s="73"/>
      <c r="B176" s="73"/>
      <c r="C176" s="35" t="s">
        <v>22</v>
      </c>
      <c r="D176" s="45" t="s">
        <v>23</v>
      </c>
      <c r="E176" s="3">
        <v>0</v>
      </c>
      <c r="F176" s="3">
        <v>0</v>
      </c>
      <c r="G176" s="3">
        <v>0</v>
      </c>
      <c r="H176" s="3">
        <v>-359.5</v>
      </c>
      <c r="I176" s="3">
        <f t="shared" si="14"/>
        <v>-359.5</v>
      </c>
      <c r="J176" s="4"/>
      <c r="K176" s="4"/>
      <c r="L176" s="4">
        <f t="shared" si="10"/>
        <v>-359.5</v>
      </c>
      <c r="M176" s="4"/>
    </row>
    <row r="177" spans="1:13" ht="15.75" hidden="1">
      <c r="A177" s="73"/>
      <c r="B177" s="73"/>
      <c r="C177" s="35" t="s">
        <v>24</v>
      </c>
      <c r="D177" s="45" t="s">
        <v>25</v>
      </c>
      <c r="E177" s="3">
        <v>0</v>
      </c>
      <c r="F177" s="3">
        <v>0</v>
      </c>
      <c r="G177" s="3">
        <v>0</v>
      </c>
      <c r="H177" s="3">
        <v>0</v>
      </c>
      <c r="I177" s="3">
        <f t="shared" si="14"/>
        <v>0</v>
      </c>
      <c r="J177" s="4" t="e">
        <f t="shared" si="12"/>
        <v>#DIV/0!</v>
      </c>
      <c r="K177" s="4" t="e">
        <f t="shared" si="13"/>
        <v>#DIV/0!</v>
      </c>
      <c r="L177" s="4">
        <f t="shared" si="10"/>
        <v>0</v>
      </c>
      <c r="M177" s="4" t="e">
        <f t="shared" si="11"/>
        <v>#DIV/0!</v>
      </c>
    </row>
    <row r="178" spans="1:13" ht="31.5">
      <c r="A178" s="73"/>
      <c r="B178" s="73"/>
      <c r="C178" s="35" t="s">
        <v>26</v>
      </c>
      <c r="D178" s="45" t="s">
        <v>27</v>
      </c>
      <c r="E178" s="3">
        <v>190858.4</v>
      </c>
      <c r="F178" s="3">
        <v>2966923.9</v>
      </c>
      <c r="G178" s="3">
        <f>352239.6+147527.6</f>
        <v>499767.19999999995</v>
      </c>
      <c r="H178" s="3">
        <v>499767.2</v>
      </c>
      <c r="I178" s="3">
        <f t="shared" si="14"/>
        <v>0</v>
      </c>
      <c r="J178" s="4">
        <f t="shared" si="12"/>
        <v>100.00000000000003</v>
      </c>
      <c r="K178" s="4">
        <f t="shared" si="13"/>
        <v>16.8446248317997</v>
      </c>
      <c r="L178" s="4">
        <f t="shared" si="10"/>
        <v>308908.80000000005</v>
      </c>
      <c r="M178" s="4">
        <f t="shared" si="11"/>
        <v>261.8523470803486</v>
      </c>
    </row>
    <row r="179" spans="1:13" ht="31.5">
      <c r="A179" s="73"/>
      <c r="B179" s="73"/>
      <c r="C179" s="35" t="s">
        <v>47</v>
      </c>
      <c r="D179" s="45" t="s">
        <v>48</v>
      </c>
      <c r="E179" s="3">
        <v>2411.6</v>
      </c>
      <c r="F179" s="3">
        <v>0</v>
      </c>
      <c r="G179" s="3">
        <v>0</v>
      </c>
      <c r="H179" s="3">
        <v>0</v>
      </c>
      <c r="I179" s="3">
        <f t="shared" si="14"/>
        <v>0</v>
      </c>
      <c r="J179" s="4"/>
      <c r="K179" s="4"/>
      <c r="L179" s="4">
        <f t="shared" si="10"/>
        <v>-2411.6</v>
      </c>
      <c r="M179" s="4">
        <f t="shared" si="11"/>
        <v>0</v>
      </c>
    </row>
    <row r="180" spans="1:13" ht="15.75">
      <c r="A180" s="73"/>
      <c r="B180" s="73"/>
      <c r="C180" s="35" t="s">
        <v>28</v>
      </c>
      <c r="D180" s="45" t="s">
        <v>29</v>
      </c>
      <c r="E180" s="3">
        <v>177219.2</v>
      </c>
      <c r="F180" s="3">
        <f>2860228-659263.8</f>
        <v>2200964.2</v>
      </c>
      <c r="G180" s="3">
        <v>119729.2</v>
      </c>
      <c r="H180" s="3">
        <v>119729.2</v>
      </c>
      <c r="I180" s="3">
        <f t="shared" si="14"/>
        <v>0</v>
      </c>
      <c r="J180" s="4">
        <f t="shared" si="12"/>
        <v>100</v>
      </c>
      <c r="K180" s="4">
        <f t="shared" si="13"/>
        <v>5.439852224765854</v>
      </c>
      <c r="L180" s="4">
        <f t="shared" si="10"/>
        <v>-57490.000000000015</v>
      </c>
      <c r="M180" s="4">
        <f t="shared" si="11"/>
        <v>67.55994835774001</v>
      </c>
    </row>
    <row r="181" spans="1:13" ht="47.25">
      <c r="A181" s="73"/>
      <c r="B181" s="73"/>
      <c r="C181" s="35" t="s">
        <v>30</v>
      </c>
      <c r="D181" s="45" t="s">
        <v>31</v>
      </c>
      <c r="E181" s="3">
        <v>-64.5</v>
      </c>
      <c r="F181" s="3">
        <v>0</v>
      </c>
      <c r="G181" s="3">
        <v>0</v>
      </c>
      <c r="H181" s="3">
        <v>-1200</v>
      </c>
      <c r="I181" s="3">
        <f t="shared" si="14"/>
        <v>-1200</v>
      </c>
      <c r="J181" s="4"/>
      <c r="K181" s="4"/>
      <c r="L181" s="4">
        <f t="shared" si="10"/>
        <v>-1135.5</v>
      </c>
      <c r="M181" s="4">
        <f t="shared" si="11"/>
        <v>1860.46511627907</v>
      </c>
    </row>
    <row r="182" spans="1:13" ht="15.75">
      <c r="A182" s="73"/>
      <c r="B182" s="73"/>
      <c r="C182" s="35"/>
      <c r="D182" s="46" t="s">
        <v>37</v>
      </c>
      <c r="E182" s="6">
        <f>SUM(E167:E181)</f>
        <v>491859.89999999997</v>
      </c>
      <c r="F182" s="6">
        <f>SUM(F167:F181)</f>
        <v>5362534.1</v>
      </c>
      <c r="G182" s="6">
        <f>SUM(G167:G181)</f>
        <v>752189.9999999999</v>
      </c>
      <c r="H182" s="6">
        <f>SUM(H167:H181)</f>
        <v>722317.5</v>
      </c>
      <c r="I182" s="6">
        <f t="shared" si="14"/>
        <v>-29872.499999999884</v>
      </c>
      <c r="J182" s="6">
        <f t="shared" si="12"/>
        <v>96.0285964982252</v>
      </c>
      <c r="K182" s="6">
        <f t="shared" si="13"/>
        <v>13.469704556284315</v>
      </c>
      <c r="L182" s="6">
        <f t="shared" si="10"/>
        <v>230457.60000000003</v>
      </c>
      <c r="M182" s="6">
        <f t="shared" si="11"/>
        <v>146.85431766240754</v>
      </c>
    </row>
    <row r="183" spans="1:13" ht="47.25">
      <c r="A183" s="73"/>
      <c r="B183" s="73"/>
      <c r="C183" s="35" t="s">
        <v>88</v>
      </c>
      <c r="D183" s="45" t="s">
        <v>89</v>
      </c>
      <c r="E183" s="3">
        <v>36941.7</v>
      </c>
      <c r="F183" s="3">
        <v>52584.9</v>
      </c>
      <c r="G183" s="3">
        <v>34063.3</v>
      </c>
      <c r="H183" s="3">
        <v>34301.8</v>
      </c>
      <c r="I183" s="3">
        <f t="shared" si="14"/>
        <v>238.5</v>
      </c>
      <c r="J183" s="4">
        <f t="shared" si="12"/>
        <v>100.70016704194838</v>
      </c>
      <c r="K183" s="4">
        <f t="shared" si="13"/>
        <v>65.23127361657053</v>
      </c>
      <c r="L183" s="4">
        <f t="shared" si="10"/>
        <v>-2639.899999999994</v>
      </c>
      <c r="M183" s="4">
        <f t="shared" si="11"/>
        <v>92.8538751600495</v>
      </c>
    </row>
    <row r="184" spans="1:13" ht="15.75">
      <c r="A184" s="73"/>
      <c r="B184" s="73"/>
      <c r="C184" s="35" t="s">
        <v>20</v>
      </c>
      <c r="D184" s="45" t="s">
        <v>21</v>
      </c>
      <c r="E184" s="3">
        <v>2949</v>
      </c>
      <c r="F184" s="3">
        <v>0</v>
      </c>
      <c r="G184" s="3">
        <v>0</v>
      </c>
      <c r="H184" s="3">
        <v>0</v>
      </c>
      <c r="I184" s="3">
        <f t="shared" si="14"/>
        <v>0</v>
      </c>
      <c r="J184" s="4"/>
      <c r="K184" s="4"/>
      <c r="L184" s="4">
        <f t="shared" si="10"/>
        <v>-2949</v>
      </c>
      <c r="M184" s="4">
        <f t="shared" si="11"/>
        <v>0</v>
      </c>
    </row>
    <row r="185" spans="1:13" ht="15.75">
      <c r="A185" s="73"/>
      <c r="B185" s="73"/>
      <c r="C185" s="38"/>
      <c r="D185" s="46" t="s">
        <v>42</v>
      </c>
      <c r="E185" s="6">
        <f>SUM(E183:E184)</f>
        <v>39890.7</v>
      </c>
      <c r="F185" s="6">
        <f>SUM(F183:F184)</f>
        <v>52584.9</v>
      </c>
      <c r="G185" s="6">
        <f>SUM(G183:G184)</f>
        <v>34063.3</v>
      </c>
      <c r="H185" s="6">
        <f>SUM(H183:H184)</f>
        <v>34301.8</v>
      </c>
      <c r="I185" s="6">
        <f t="shared" si="14"/>
        <v>238.5</v>
      </c>
      <c r="J185" s="6">
        <f t="shared" si="12"/>
        <v>100.70016704194838</v>
      </c>
      <c r="K185" s="6">
        <f t="shared" si="13"/>
        <v>65.23127361657053</v>
      </c>
      <c r="L185" s="6">
        <f t="shared" si="10"/>
        <v>-5588.899999999994</v>
      </c>
      <c r="M185" s="6">
        <f t="shared" si="11"/>
        <v>85.98946621643643</v>
      </c>
    </row>
    <row r="186" spans="1:13" s="2" customFormat="1" ht="15.75">
      <c r="A186" s="73"/>
      <c r="B186" s="73"/>
      <c r="C186" s="37"/>
      <c r="D186" s="46" t="s">
        <v>32</v>
      </c>
      <c r="E186" s="6">
        <f>E182+E185</f>
        <v>531750.6</v>
      </c>
      <c r="F186" s="6">
        <f>F182+F185</f>
        <v>5415119</v>
      </c>
      <c r="G186" s="6">
        <f>G182+G185</f>
        <v>786253.2999999999</v>
      </c>
      <c r="H186" s="6">
        <f>H182+H185</f>
        <v>756619.3</v>
      </c>
      <c r="I186" s="6">
        <f t="shared" si="14"/>
        <v>-29633.999999999884</v>
      </c>
      <c r="J186" s="6">
        <f t="shared" si="12"/>
        <v>96.23098561239745</v>
      </c>
      <c r="K186" s="6">
        <f t="shared" si="13"/>
        <v>13.97234853010617</v>
      </c>
      <c r="L186" s="6">
        <f t="shared" si="10"/>
        <v>224868.70000000007</v>
      </c>
      <c r="M186" s="6">
        <f t="shared" si="11"/>
        <v>142.28837729567206</v>
      </c>
    </row>
    <row r="187" spans="1:13" s="2" customFormat="1" ht="63">
      <c r="A187" s="83" t="s">
        <v>90</v>
      </c>
      <c r="B187" s="83" t="s">
        <v>143</v>
      </c>
      <c r="C187" s="35" t="s">
        <v>12</v>
      </c>
      <c r="D187" s="44" t="s">
        <v>13</v>
      </c>
      <c r="E187" s="3">
        <v>15301.6</v>
      </c>
      <c r="F187" s="3">
        <v>0</v>
      </c>
      <c r="G187" s="3">
        <v>0</v>
      </c>
      <c r="H187" s="3">
        <v>4140.2</v>
      </c>
      <c r="I187" s="3">
        <f t="shared" si="14"/>
        <v>4140.2</v>
      </c>
      <c r="J187" s="4"/>
      <c r="K187" s="4"/>
      <c r="L187" s="4">
        <f t="shared" si="10"/>
        <v>-11161.400000000001</v>
      </c>
      <c r="M187" s="4">
        <f t="shared" si="11"/>
        <v>27.057301197260415</v>
      </c>
    </row>
    <row r="188" spans="1:13" s="2" customFormat="1" ht="31.5">
      <c r="A188" s="84"/>
      <c r="B188" s="84"/>
      <c r="C188" s="35" t="s">
        <v>16</v>
      </c>
      <c r="D188" s="45" t="s">
        <v>17</v>
      </c>
      <c r="E188" s="3">
        <v>463499.3</v>
      </c>
      <c r="F188" s="3">
        <v>3841972.3</v>
      </c>
      <c r="G188" s="3">
        <v>2090585.4</v>
      </c>
      <c r="H188" s="3">
        <v>1093712.7</v>
      </c>
      <c r="I188" s="3">
        <f t="shared" si="14"/>
        <v>-996872.7</v>
      </c>
      <c r="J188" s="4">
        <f t="shared" si="12"/>
        <v>52.31609768249601</v>
      </c>
      <c r="K188" s="4">
        <f t="shared" si="13"/>
        <v>28.467480101301096</v>
      </c>
      <c r="L188" s="4">
        <f t="shared" si="10"/>
        <v>630213.3999999999</v>
      </c>
      <c r="M188" s="4">
        <f t="shared" si="11"/>
        <v>235.968576435822</v>
      </c>
    </row>
    <row r="189" spans="1:13" s="2" customFormat="1" ht="15.75">
      <c r="A189" s="84"/>
      <c r="B189" s="84"/>
      <c r="C189" s="35" t="s">
        <v>20</v>
      </c>
      <c r="D189" s="45" t="s">
        <v>21</v>
      </c>
      <c r="E189" s="3">
        <v>9357.7</v>
      </c>
      <c r="F189" s="3">
        <v>0</v>
      </c>
      <c r="G189" s="3">
        <v>0</v>
      </c>
      <c r="H189" s="3">
        <f>5437.3+3571.2</f>
        <v>9008.5</v>
      </c>
      <c r="I189" s="3">
        <f t="shared" si="14"/>
        <v>9008.5</v>
      </c>
      <c r="J189" s="4"/>
      <c r="K189" s="4"/>
      <c r="L189" s="4">
        <f t="shared" si="10"/>
        <v>-349.2000000000007</v>
      </c>
      <c r="M189" s="4">
        <f t="shared" si="11"/>
        <v>96.26831379505647</v>
      </c>
    </row>
    <row r="190" spans="1:13" s="2" customFormat="1" ht="15.75" hidden="1">
      <c r="A190" s="84"/>
      <c r="B190" s="84"/>
      <c r="C190" s="35" t="s">
        <v>22</v>
      </c>
      <c r="D190" s="45" t="s">
        <v>23</v>
      </c>
      <c r="E190" s="3"/>
      <c r="F190" s="3"/>
      <c r="G190" s="3"/>
      <c r="H190" s="3">
        <v>0</v>
      </c>
      <c r="I190" s="3">
        <f t="shared" si="14"/>
        <v>0</v>
      </c>
      <c r="J190" s="4" t="e">
        <f t="shared" si="12"/>
        <v>#DIV/0!</v>
      </c>
      <c r="K190" s="4" t="e">
        <f t="shared" si="13"/>
        <v>#DIV/0!</v>
      </c>
      <c r="L190" s="4">
        <f t="shared" si="10"/>
        <v>0</v>
      </c>
      <c r="M190" s="4" t="e">
        <f t="shared" si="11"/>
        <v>#DIV/0!</v>
      </c>
    </row>
    <row r="191" spans="1:13" s="2" customFormat="1" ht="15.75" hidden="1">
      <c r="A191" s="84"/>
      <c r="B191" s="84"/>
      <c r="C191" s="35" t="s">
        <v>24</v>
      </c>
      <c r="D191" s="45" t="s">
        <v>25</v>
      </c>
      <c r="E191" s="3"/>
      <c r="F191" s="3"/>
      <c r="G191" s="3"/>
      <c r="H191" s="3">
        <v>0</v>
      </c>
      <c r="I191" s="3">
        <f t="shared" si="14"/>
        <v>0</v>
      </c>
      <c r="J191" s="4" t="e">
        <f t="shared" si="12"/>
        <v>#DIV/0!</v>
      </c>
      <c r="K191" s="4" t="e">
        <f t="shared" si="13"/>
        <v>#DIV/0!</v>
      </c>
      <c r="L191" s="4">
        <f t="shared" si="10"/>
        <v>0</v>
      </c>
      <c r="M191" s="4" t="e">
        <f t="shared" si="11"/>
        <v>#DIV/0!</v>
      </c>
    </row>
    <row r="192" spans="1:13" s="2" customFormat="1" ht="31.5">
      <c r="A192" s="84"/>
      <c r="B192" s="84"/>
      <c r="C192" s="35" t="s">
        <v>26</v>
      </c>
      <c r="D192" s="45" t="s">
        <v>27</v>
      </c>
      <c r="E192" s="3">
        <v>0</v>
      </c>
      <c r="F192" s="3">
        <v>73800</v>
      </c>
      <c r="G192" s="3">
        <v>0</v>
      </c>
      <c r="H192" s="3">
        <v>0</v>
      </c>
      <c r="I192" s="3">
        <f t="shared" si="14"/>
        <v>0</v>
      </c>
      <c r="J192" s="4"/>
      <c r="K192" s="4">
        <f t="shared" si="13"/>
        <v>0</v>
      </c>
      <c r="L192" s="4">
        <f t="shared" si="10"/>
        <v>0</v>
      </c>
      <c r="M192" s="4"/>
    </row>
    <row r="193" spans="1:13" s="2" customFormat="1" ht="31.5">
      <c r="A193" s="84"/>
      <c r="B193" s="84"/>
      <c r="C193" s="35" t="s">
        <v>47</v>
      </c>
      <c r="D193" s="45" t="s">
        <v>48</v>
      </c>
      <c r="E193" s="3">
        <v>37.6</v>
      </c>
      <c r="F193" s="3">
        <v>39.1</v>
      </c>
      <c r="G193" s="3">
        <v>39.1</v>
      </c>
      <c r="H193" s="3">
        <v>0</v>
      </c>
      <c r="I193" s="3">
        <f t="shared" si="14"/>
        <v>-39.1</v>
      </c>
      <c r="J193" s="4">
        <f t="shared" si="12"/>
        <v>0</v>
      </c>
      <c r="K193" s="4">
        <f t="shared" si="13"/>
        <v>0</v>
      </c>
      <c r="L193" s="4">
        <f t="shared" si="10"/>
        <v>-37.6</v>
      </c>
      <c r="M193" s="4">
        <f t="shared" si="11"/>
        <v>0</v>
      </c>
    </row>
    <row r="194" spans="1:13" s="2" customFormat="1" ht="15.75">
      <c r="A194" s="84"/>
      <c r="B194" s="84"/>
      <c r="C194" s="35" t="s">
        <v>28</v>
      </c>
      <c r="D194" s="45" t="s">
        <v>29</v>
      </c>
      <c r="E194" s="3">
        <v>114707.2</v>
      </c>
      <c r="F194" s="3">
        <v>292455.3</v>
      </c>
      <c r="G194" s="3">
        <v>167147.4</v>
      </c>
      <c r="H194" s="3">
        <v>102288.9</v>
      </c>
      <c r="I194" s="3">
        <f t="shared" si="14"/>
        <v>-64858.5</v>
      </c>
      <c r="J194" s="4">
        <f t="shared" si="12"/>
        <v>61.19682388119707</v>
      </c>
      <c r="K194" s="4">
        <f t="shared" si="13"/>
        <v>34.97590913893508</v>
      </c>
      <c r="L194" s="4">
        <f t="shared" si="10"/>
        <v>-12418.300000000003</v>
      </c>
      <c r="M194" s="4">
        <f t="shared" si="11"/>
        <v>89.17391410478156</v>
      </c>
    </row>
    <row r="195" spans="1:13" s="2" customFormat="1" ht="94.5" hidden="1">
      <c r="A195" s="84"/>
      <c r="B195" s="84"/>
      <c r="C195" s="35" t="s">
        <v>59</v>
      </c>
      <c r="D195" s="48" t="s">
        <v>60</v>
      </c>
      <c r="E195" s="3"/>
      <c r="F195" s="3"/>
      <c r="G195" s="3"/>
      <c r="H195" s="3">
        <v>0</v>
      </c>
      <c r="I195" s="3">
        <f t="shared" si="14"/>
        <v>0</v>
      </c>
      <c r="J195" s="4" t="e">
        <f t="shared" si="12"/>
        <v>#DIV/0!</v>
      </c>
      <c r="K195" s="4" t="e">
        <f t="shared" si="13"/>
        <v>#DIV/0!</v>
      </c>
      <c r="L195" s="4">
        <f t="shared" si="10"/>
        <v>0</v>
      </c>
      <c r="M195" s="4" t="e">
        <f t="shared" si="11"/>
        <v>#DIV/0!</v>
      </c>
    </row>
    <row r="196" spans="1:13" s="2" customFormat="1" ht="47.25">
      <c r="A196" s="84"/>
      <c r="B196" s="84"/>
      <c r="C196" s="35" t="s">
        <v>30</v>
      </c>
      <c r="D196" s="45" t="s">
        <v>31</v>
      </c>
      <c r="E196" s="3">
        <v>-37.6</v>
      </c>
      <c r="F196" s="3">
        <v>0</v>
      </c>
      <c r="G196" s="3">
        <v>0</v>
      </c>
      <c r="H196" s="3">
        <v>-1887.9</v>
      </c>
      <c r="I196" s="3">
        <f t="shared" si="14"/>
        <v>-1887.9</v>
      </c>
      <c r="J196" s="4"/>
      <c r="K196" s="4"/>
      <c r="L196" s="4">
        <f t="shared" si="10"/>
        <v>-1850.3000000000002</v>
      </c>
      <c r="M196" s="4">
        <f t="shared" si="11"/>
        <v>5021.010638297872</v>
      </c>
    </row>
    <row r="197" spans="1:13" s="2" customFormat="1" ht="15.75">
      <c r="A197" s="84"/>
      <c r="B197" s="84"/>
      <c r="C197" s="37"/>
      <c r="D197" s="46" t="s">
        <v>37</v>
      </c>
      <c r="E197" s="6">
        <f>SUM(E187:E196)</f>
        <v>602865.7999999999</v>
      </c>
      <c r="F197" s="6">
        <f>SUM(F187:F196)</f>
        <v>4208266.7</v>
      </c>
      <c r="G197" s="6">
        <f>SUM(G187:G196)</f>
        <v>2257771.9</v>
      </c>
      <c r="H197" s="6">
        <f>SUM(H187:H196)</f>
        <v>1207262.4</v>
      </c>
      <c r="I197" s="6">
        <f t="shared" si="14"/>
        <v>-1050509.5</v>
      </c>
      <c r="J197" s="6">
        <f t="shared" si="12"/>
        <v>53.471406921133166</v>
      </c>
      <c r="K197" s="6">
        <f t="shared" si="13"/>
        <v>28.687877600533252</v>
      </c>
      <c r="L197" s="6">
        <f t="shared" si="10"/>
        <v>604396.6</v>
      </c>
      <c r="M197" s="6">
        <f t="shared" si="11"/>
        <v>200.25392052426926</v>
      </c>
    </row>
    <row r="198" spans="1:13" ht="15.75">
      <c r="A198" s="84"/>
      <c r="B198" s="84"/>
      <c r="C198" s="35" t="s">
        <v>93</v>
      </c>
      <c r="D198" s="45" t="s">
        <v>94</v>
      </c>
      <c r="E198" s="3">
        <v>517109.4</v>
      </c>
      <c r="F198" s="10">
        <v>1510697.3</v>
      </c>
      <c r="G198" s="10">
        <v>447990.9</v>
      </c>
      <c r="H198" s="3">
        <v>423489.4</v>
      </c>
      <c r="I198" s="3">
        <f t="shared" si="14"/>
        <v>-24501.5</v>
      </c>
      <c r="J198" s="4">
        <f aca="true" t="shared" si="15" ref="J198:J260">H198/G198*100</f>
        <v>94.53080408552943</v>
      </c>
      <c r="K198" s="4">
        <f t="shared" si="13"/>
        <v>28.032710457614506</v>
      </c>
      <c r="L198" s="4">
        <f aca="true" t="shared" si="16" ref="L198:L261">H198-E198</f>
        <v>-93620</v>
      </c>
      <c r="M198" s="4">
        <f aca="true" t="shared" si="17" ref="M198:M261">H198/E198*100</f>
        <v>81.89551379263266</v>
      </c>
    </row>
    <row r="199" spans="1:13" ht="15.75">
      <c r="A199" s="84"/>
      <c r="B199" s="84"/>
      <c r="C199" s="35" t="s">
        <v>20</v>
      </c>
      <c r="D199" s="45" t="s">
        <v>21</v>
      </c>
      <c r="E199" s="3">
        <v>12208.3</v>
      </c>
      <c r="F199" s="3">
        <v>0</v>
      </c>
      <c r="G199" s="3">
        <v>0</v>
      </c>
      <c r="H199" s="3">
        <v>0</v>
      </c>
      <c r="I199" s="3">
        <f t="shared" si="14"/>
        <v>0</v>
      </c>
      <c r="J199" s="4"/>
      <c r="K199" s="4"/>
      <c r="L199" s="4">
        <f t="shared" si="16"/>
        <v>-12208.3</v>
      </c>
      <c r="M199" s="4">
        <f t="shared" si="17"/>
        <v>0</v>
      </c>
    </row>
    <row r="200" spans="1:13" s="2" customFormat="1" ht="15.75">
      <c r="A200" s="84"/>
      <c r="B200" s="84"/>
      <c r="C200" s="37"/>
      <c r="D200" s="46" t="s">
        <v>42</v>
      </c>
      <c r="E200" s="6">
        <f>SUM(E198:E199)</f>
        <v>529317.7000000001</v>
      </c>
      <c r="F200" s="6">
        <f>SUM(F198:F199)</f>
        <v>1510697.3</v>
      </c>
      <c r="G200" s="6">
        <f>SUM(G198:G199)</f>
        <v>447990.9</v>
      </c>
      <c r="H200" s="6">
        <f>SUM(H198:H199)</f>
        <v>423489.4</v>
      </c>
      <c r="I200" s="6">
        <f t="shared" si="14"/>
        <v>-24501.5</v>
      </c>
      <c r="J200" s="6">
        <f t="shared" si="15"/>
        <v>94.53080408552943</v>
      </c>
      <c r="K200" s="6">
        <f aca="true" t="shared" si="18" ref="K200:K260">H200/F200*100</f>
        <v>28.032710457614506</v>
      </c>
      <c r="L200" s="6">
        <f t="shared" si="16"/>
        <v>-105828.30000000005</v>
      </c>
      <c r="M200" s="6">
        <f t="shared" si="17"/>
        <v>80.00665762735687</v>
      </c>
    </row>
    <row r="201" spans="1:13" s="2" customFormat="1" ht="15.75">
      <c r="A201" s="85"/>
      <c r="B201" s="85"/>
      <c r="C201" s="37"/>
      <c r="D201" s="46" t="s">
        <v>32</v>
      </c>
      <c r="E201" s="6">
        <f>E197+E200</f>
        <v>1132183.5</v>
      </c>
      <c r="F201" s="6">
        <f>F197+F200</f>
        <v>5718964</v>
      </c>
      <c r="G201" s="6">
        <f>G197+G200</f>
        <v>2705762.8</v>
      </c>
      <c r="H201" s="6">
        <f>H197+H200</f>
        <v>1630751.7999999998</v>
      </c>
      <c r="I201" s="6">
        <f t="shared" si="14"/>
        <v>-1075011</v>
      </c>
      <c r="J201" s="6">
        <f t="shared" si="15"/>
        <v>60.26957721497242</v>
      </c>
      <c r="K201" s="6">
        <f t="shared" si="18"/>
        <v>28.51481142388726</v>
      </c>
      <c r="L201" s="6">
        <f t="shared" si="16"/>
        <v>498568.2999999998</v>
      </c>
      <c r="M201" s="6">
        <f t="shared" si="17"/>
        <v>144.03599769825297</v>
      </c>
    </row>
    <row r="202" spans="1:13" s="2" customFormat="1" ht="31.5">
      <c r="A202" s="86">
        <v>950</v>
      </c>
      <c r="B202" s="83" t="s">
        <v>145</v>
      </c>
      <c r="C202" s="35" t="s">
        <v>16</v>
      </c>
      <c r="D202" s="45" t="s">
        <v>17</v>
      </c>
      <c r="E202" s="3">
        <v>0</v>
      </c>
      <c r="F202" s="3">
        <v>0</v>
      </c>
      <c r="G202" s="3">
        <v>0</v>
      </c>
      <c r="H202" s="3">
        <v>24.3</v>
      </c>
      <c r="I202" s="3">
        <f t="shared" si="14"/>
        <v>24.3</v>
      </c>
      <c r="J202" s="4"/>
      <c r="K202" s="4"/>
      <c r="L202" s="3">
        <f t="shared" si="16"/>
        <v>24.3</v>
      </c>
      <c r="M202" s="6"/>
    </row>
    <row r="203" spans="1:13" s="2" customFormat="1" ht="15.75">
      <c r="A203" s="87"/>
      <c r="B203" s="84"/>
      <c r="C203" s="35" t="s">
        <v>20</v>
      </c>
      <c r="D203" s="45" t="s">
        <v>21</v>
      </c>
      <c r="E203" s="3">
        <v>0</v>
      </c>
      <c r="F203" s="3">
        <v>19979.5</v>
      </c>
      <c r="G203" s="3">
        <v>11000</v>
      </c>
      <c r="H203" s="3">
        <v>233.5</v>
      </c>
      <c r="I203" s="3">
        <f t="shared" si="14"/>
        <v>-10766.5</v>
      </c>
      <c r="J203" s="4">
        <f t="shared" si="15"/>
        <v>2.1227272727272726</v>
      </c>
      <c r="K203" s="4">
        <f t="shared" si="18"/>
        <v>1.1686979153632473</v>
      </c>
      <c r="L203" s="3">
        <f t="shared" si="16"/>
        <v>233.5</v>
      </c>
      <c r="M203" s="6"/>
    </row>
    <row r="204" spans="1:13" s="2" customFormat="1" ht="15.75" hidden="1">
      <c r="A204" s="87"/>
      <c r="B204" s="84"/>
      <c r="C204" s="35" t="s">
        <v>22</v>
      </c>
      <c r="D204" s="45" t="s">
        <v>23</v>
      </c>
      <c r="E204" s="3">
        <v>0</v>
      </c>
      <c r="F204" s="3">
        <v>0</v>
      </c>
      <c r="G204" s="3">
        <v>0</v>
      </c>
      <c r="H204" s="3">
        <v>0</v>
      </c>
      <c r="I204" s="3">
        <f t="shared" si="14"/>
        <v>0</v>
      </c>
      <c r="J204" s="4" t="e">
        <f t="shared" si="15"/>
        <v>#DIV/0!</v>
      </c>
      <c r="K204" s="4" t="e">
        <f t="shared" si="18"/>
        <v>#DIV/0!</v>
      </c>
      <c r="L204" s="3">
        <f t="shared" si="16"/>
        <v>0</v>
      </c>
      <c r="M204" s="6"/>
    </row>
    <row r="205" spans="1:13" s="2" customFormat="1" ht="31.5">
      <c r="A205" s="87"/>
      <c r="B205" s="84"/>
      <c r="C205" s="35" t="s">
        <v>47</v>
      </c>
      <c r="D205" s="45" t="s">
        <v>48</v>
      </c>
      <c r="E205" s="3">
        <v>0</v>
      </c>
      <c r="F205" s="3">
        <v>3315.1</v>
      </c>
      <c r="G205" s="3">
        <v>2486.4</v>
      </c>
      <c r="H205" s="3">
        <v>2486.3</v>
      </c>
      <c r="I205" s="3">
        <f t="shared" si="14"/>
        <v>-0.09999999999990905</v>
      </c>
      <c r="J205" s="4">
        <f t="shared" si="15"/>
        <v>99.99597812097812</v>
      </c>
      <c r="K205" s="4">
        <f t="shared" si="18"/>
        <v>74.99924587493591</v>
      </c>
      <c r="L205" s="3">
        <f t="shared" si="16"/>
        <v>2486.3</v>
      </c>
      <c r="M205" s="6"/>
    </row>
    <row r="206" spans="1:13" s="2" customFormat="1" ht="15.75">
      <c r="A206" s="88"/>
      <c r="B206" s="85"/>
      <c r="C206" s="37"/>
      <c r="D206" s="46" t="s">
        <v>37</v>
      </c>
      <c r="E206" s="6">
        <f>E203+E205+E204+E202</f>
        <v>0</v>
      </c>
      <c r="F206" s="6">
        <f>F203+F205+F204+F202</f>
        <v>23294.6</v>
      </c>
      <c r="G206" s="6">
        <f>G203+G205+G204+G202</f>
        <v>13486.4</v>
      </c>
      <c r="H206" s="6">
        <f>H203+H205+H204+H202</f>
        <v>2744.1000000000004</v>
      </c>
      <c r="I206" s="6">
        <f t="shared" si="14"/>
        <v>-10742.3</v>
      </c>
      <c r="J206" s="6">
        <f t="shared" si="15"/>
        <v>20.34716455095504</v>
      </c>
      <c r="K206" s="6">
        <f t="shared" si="18"/>
        <v>11.779983343779248</v>
      </c>
      <c r="L206" s="6">
        <f t="shared" si="16"/>
        <v>2744.1000000000004</v>
      </c>
      <c r="M206" s="4"/>
    </row>
    <row r="207" spans="1:13" s="2" customFormat="1" ht="15.75">
      <c r="A207" s="73" t="s">
        <v>95</v>
      </c>
      <c r="B207" s="73" t="s">
        <v>96</v>
      </c>
      <c r="C207" s="35" t="s">
        <v>38</v>
      </c>
      <c r="D207" s="45" t="s">
        <v>39</v>
      </c>
      <c r="E207" s="3">
        <v>2850</v>
      </c>
      <c r="F207" s="3">
        <v>205</v>
      </c>
      <c r="G207" s="3">
        <v>205</v>
      </c>
      <c r="H207" s="3">
        <v>195</v>
      </c>
      <c r="I207" s="3">
        <f t="shared" si="14"/>
        <v>-10</v>
      </c>
      <c r="J207" s="4">
        <f t="shared" si="15"/>
        <v>95.1219512195122</v>
      </c>
      <c r="K207" s="4">
        <f t="shared" si="18"/>
        <v>95.1219512195122</v>
      </c>
      <c r="L207" s="4">
        <f t="shared" si="16"/>
        <v>-2655</v>
      </c>
      <c r="M207" s="4">
        <f t="shared" si="17"/>
        <v>6.842105263157896</v>
      </c>
    </row>
    <row r="208" spans="1:13" s="2" customFormat="1" ht="94.5">
      <c r="A208" s="73"/>
      <c r="B208" s="73"/>
      <c r="C208" s="36" t="s">
        <v>14</v>
      </c>
      <c r="D208" s="45" t="s">
        <v>15</v>
      </c>
      <c r="E208" s="3">
        <v>102221.4</v>
      </c>
      <c r="F208" s="3">
        <v>108285.4</v>
      </c>
      <c r="G208" s="3">
        <v>76438</v>
      </c>
      <c r="H208" s="3">
        <v>23551.3</v>
      </c>
      <c r="I208" s="3">
        <f t="shared" si="14"/>
        <v>-52886.7</v>
      </c>
      <c r="J208" s="4">
        <f t="shared" si="15"/>
        <v>30.81098406551715</v>
      </c>
      <c r="K208" s="4">
        <f t="shared" si="18"/>
        <v>21.749284760457087</v>
      </c>
      <c r="L208" s="4">
        <f t="shared" si="16"/>
        <v>-78670.09999999999</v>
      </c>
      <c r="M208" s="4">
        <f t="shared" si="17"/>
        <v>23.039500535113</v>
      </c>
    </row>
    <row r="209" spans="1:13" s="2" customFormat="1" ht="31.5">
      <c r="A209" s="73"/>
      <c r="B209" s="73"/>
      <c r="C209" s="35" t="s">
        <v>16</v>
      </c>
      <c r="D209" s="45" t="s">
        <v>17</v>
      </c>
      <c r="E209" s="3">
        <v>13.1</v>
      </c>
      <c r="F209" s="3">
        <v>0</v>
      </c>
      <c r="G209" s="3">
        <v>0</v>
      </c>
      <c r="H209" s="3">
        <v>18.7</v>
      </c>
      <c r="I209" s="3">
        <f t="shared" si="14"/>
        <v>18.7</v>
      </c>
      <c r="J209" s="4"/>
      <c r="K209" s="4"/>
      <c r="L209" s="4">
        <f t="shared" si="16"/>
        <v>5.6</v>
      </c>
      <c r="M209" s="4">
        <f t="shared" si="17"/>
        <v>142.74809160305344</v>
      </c>
    </row>
    <row r="210" spans="1:13" s="2" customFormat="1" ht="15.75">
      <c r="A210" s="73"/>
      <c r="B210" s="73"/>
      <c r="C210" s="35" t="s">
        <v>20</v>
      </c>
      <c r="D210" s="45" t="s">
        <v>21</v>
      </c>
      <c r="E210" s="3">
        <v>6.2</v>
      </c>
      <c r="F210" s="3">
        <v>0</v>
      </c>
      <c r="G210" s="3">
        <v>0</v>
      </c>
      <c r="H210" s="3">
        <v>1216.5</v>
      </c>
      <c r="I210" s="3">
        <f t="shared" si="14"/>
        <v>1216.5</v>
      </c>
      <c r="J210" s="4"/>
      <c r="K210" s="4"/>
      <c r="L210" s="4">
        <f t="shared" si="16"/>
        <v>1210.3</v>
      </c>
      <c r="M210" s="4">
        <f t="shared" si="17"/>
        <v>19620.967741935485</v>
      </c>
    </row>
    <row r="211" spans="1:13" s="2" customFormat="1" ht="15.75" hidden="1">
      <c r="A211" s="73"/>
      <c r="B211" s="73"/>
      <c r="C211" s="35" t="s">
        <v>22</v>
      </c>
      <c r="D211" s="45" t="s">
        <v>23</v>
      </c>
      <c r="E211" s="3">
        <v>0</v>
      </c>
      <c r="F211" s="3">
        <v>0</v>
      </c>
      <c r="G211" s="3">
        <v>0</v>
      </c>
      <c r="H211" s="3">
        <v>0</v>
      </c>
      <c r="I211" s="3">
        <f t="shared" si="14"/>
        <v>0</v>
      </c>
      <c r="J211" s="4" t="e">
        <f t="shared" si="15"/>
        <v>#DIV/0!</v>
      </c>
      <c r="K211" s="4" t="e">
        <f t="shared" si="18"/>
        <v>#DIV/0!</v>
      </c>
      <c r="L211" s="4">
        <f t="shared" si="16"/>
        <v>0</v>
      </c>
      <c r="M211" s="4" t="e">
        <f t="shared" si="17"/>
        <v>#DIV/0!</v>
      </c>
    </row>
    <row r="212" spans="1:13" s="2" customFormat="1" ht="15.75">
      <c r="A212" s="73"/>
      <c r="B212" s="73"/>
      <c r="C212" s="35" t="s">
        <v>24</v>
      </c>
      <c r="D212" s="45" t="s">
        <v>25</v>
      </c>
      <c r="E212" s="3">
        <v>15143.3</v>
      </c>
      <c r="F212" s="3">
        <v>30581.3</v>
      </c>
      <c r="G212" s="3">
        <v>16322.5</v>
      </c>
      <c r="H212" s="3">
        <v>12377.2</v>
      </c>
      <c r="I212" s="3">
        <f t="shared" si="14"/>
        <v>-3945.2999999999993</v>
      </c>
      <c r="J212" s="4">
        <f t="shared" si="15"/>
        <v>75.82907030173074</v>
      </c>
      <c r="K212" s="4">
        <f t="shared" si="18"/>
        <v>40.473099573922624</v>
      </c>
      <c r="L212" s="4">
        <f t="shared" si="16"/>
        <v>-2766.0999999999985</v>
      </c>
      <c r="M212" s="4">
        <f t="shared" si="17"/>
        <v>81.73383608592579</v>
      </c>
    </row>
    <row r="213" spans="1:13" s="2" customFormat="1" ht="94.5" hidden="1">
      <c r="A213" s="73"/>
      <c r="B213" s="73"/>
      <c r="C213" s="35" t="s">
        <v>59</v>
      </c>
      <c r="D213" s="48" t="s">
        <v>60</v>
      </c>
      <c r="E213" s="3">
        <v>0</v>
      </c>
      <c r="F213" s="3"/>
      <c r="G213" s="3"/>
      <c r="H213" s="3">
        <v>0</v>
      </c>
      <c r="I213" s="3">
        <f t="shared" si="14"/>
        <v>0</v>
      </c>
      <c r="J213" s="4" t="e">
        <f t="shared" si="15"/>
        <v>#DIV/0!</v>
      </c>
      <c r="K213" s="4" t="e">
        <f t="shared" si="18"/>
        <v>#DIV/0!</v>
      </c>
      <c r="L213" s="4">
        <f t="shared" si="16"/>
        <v>0</v>
      </c>
      <c r="M213" s="4" t="e">
        <f t="shared" si="17"/>
        <v>#DIV/0!</v>
      </c>
    </row>
    <row r="214" spans="1:13" s="2" customFormat="1" ht="47.25" hidden="1">
      <c r="A214" s="73"/>
      <c r="B214" s="73"/>
      <c r="C214" s="35" t="s">
        <v>30</v>
      </c>
      <c r="D214" s="45" t="s">
        <v>31</v>
      </c>
      <c r="E214" s="3">
        <v>0</v>
      </c>
      <c r="F214" s="3">
        <v>0</v>
      </c>
      <c r="G214" s="3">
        <v>0</v>
      </c>
      <c r="H214" s="3">
        <v>0</v>
      </c>
      <c r="I214" s="3">
        <f aca="true" t="shared" si="19" ref="I214:I280">H214-G214</f>
        <v>0</v>
      </c>
      <c r="J214" s="4" t="e">
        <f t="shared" si="15"/>
        <v>#DIV/0!</v>
      </c>
      <c r="K214" s="4" t="e">
        <f t="shared" si="18"/>
        <v>#DIV/0!</v>
      </c>
      <c r="L214" s="4">
        <f t="shared" si="16"/>
        <v>0</v>
      </c>
      <c r="M214" s="4" t="e">
        <f t="shared" si="17"/>
        <v>#DIV/0!</v>
      </c>
    </row>
    <row r="215" spans="1:13" s="2" customFormat="1" ht="15.75">
      <c r="A215" s="73"/>
      <c r="B215" s="73"/>
      <c r="C215" s="37"/>
      <c r="D215" s="46" t="s">
        <v>37</v>
      </c>
      <c r="E215" s="6">
        <f>SUM(E207:E214)</f>
        <v>120234</v>
      </c>
      <c r="F215" s="6">
        <f>SUM(F207:F214)</f>
        <v>139071.69999999998</v>
      </c>
      <c r="G215" s="6">
        <f>SUM(G207:G214)</f>
        <v>92965.5</v>
      </c>
      <c r="H215" s="6">
        <f>SUM(H207:H214)</f>
        <v>37358.7</v>
      </c>
      <c r="I215" s="6">
        <f t="shared" si="19"/>
        <v>-55606.8</v>
      </c>
      <c r="J215" s="6">
        <f t="shared" si="15"/>
        <v>40.18555270503574</v>
      </c>
      <c r="K215" s="6">
        <f t="shared" si="18"/>
        <v>26.862905968647826</v>
      </c>
      <c r="L215" s="6">
        <f t="shared" si="16"/>
        <v>-82875.3</v>
      </c>
      <c r="M215" s="6">
        <f t="shared" si="17"/>
        <v>31.071660262488145</v>
      </c>
    </row>
    <row r="216" spans="1:13" ht="15.75">
      <c r="A216" s="73"/>
      <c r="B216" s="73"/>
      <c r="C216" s="35" t="s">
        <v>97</v>
      </c>
      <c r="D216" s="45" t="s">
        <v>98</v>
      </c>
      <c r="E216" s="3">
        <v>5629778.326562501</v>
      </c>
      <c r="F216" s="3">
        <v>10127809.8</v>
      </c>
      <c r="G216" s="3">
        <v>6204628.8</v>
      </c>
      <c r="H216" s="3">
        <v>5668642.8</v>
      </c>
      <c r="I216" s="3">
        <f t="shared" si="19"/>
        <v>-535986</v>
      </c>
      <c r="J216" s="4">
        <f t="shared" si="15"/>
        <v>91.36151384269758</v>
      </c>
      <c r="K216" s="4">
        <f t="shared" si="18"/>
        <v>55.97106296368243</v>
      </c>
      <c r="L216" s="4">
        <f t="shared" si="16"/>
        <v>38864.473437499255</v>
      </c>
      <c r="M216" s="4">
        <f t="shared" si="17"/>
        <v>100.6903375440935</v>
      </c>
    </row>
    <row r="217" spans="1:13" ht="31.5">
      <c r="A217" s="73"/>
      <c r="B217" s="73"/>
      <c r="C217" s="35" t="s">
        <v>99</v>
      </c>
      <c r="D217" s="45" t="s">
        <v>100</v>
      </c>
      <c r="E217" s="3">
        <v>345162.8</v>
      </c>
      <c r="F217" s="3">
        <v>104490.3</v>
      </c>
      <c r="G217" s="3">
        <v>104490.3</v>
      </c>
      <c r="H217" s="3">
        <v>107667.7</v>
      </c>
      <c r="I217" s="3">
        <f t="shared" si="19"/>
        <v>3177.399999999994</v>
      </c>
      <c r="J217" s="4">
        <f t="shared" si="15"/>
        <v>103.0408564239934</v>
      </c>
      <c r="K217" s="4">
        <f t="shared" si="18"/>
        <v>103.0408564239934</v>
      </c>
      <c r="L217" s="4">
        <f t="shared" si="16"/>
        <v>-237495.09999999998</v>
      </c>
      <c r="M217" s="4">
        <f t="shared" si="17"/>
        <v>31.193309360104855</v>
      </c>
    </row>
    <row r="218" spans="1:13" ht="15.75">
      <c r="A218" s="73"/>
      <c r="B218" s="73"/>
      <c r="C218" s="35" t="s">
        <v>101</v>
      </c>
      <c r="D218" s="45" t="s">
        <v>102</v>
      </c>
      <c r="E218" s="3">
        <v>798.7</v>
      </c>
      <c r="F218" s="3">
        <v>720.4</v>
      </c>
      <c r="G218" s="3">
        <v>683.3</v>
      </c>
      <c r="H218" s="3">
        <v>1046.4</v>
      </c>
      <c r="I218" s="3">
        <f t="shared" si="19"/>
        <v>363.10000000000014</v>
      </c>
      <c r="J218" s="4">
        <f t="shared" si="15"/>
        <v>153.1391775208547</v>
      </c>
      <c r="K218" s="4">
        <f t="shared" si="18"/>
        <v>145.25263742365354</v>
      </c>
      <c r="L218" s="4">
        <f t="shared" si="16"/>
        <v>247.70000000000005</v>
      </c>
      <c r="M218" s="4">
        <f t="shared" si="17"/>
        <v>131.01289595592837</v>
      </c>
    </row>
    <row r="219" spans="1:13" ht="31.5">
      <c r="A219" s="73"/>
      <c r="B219" s="73"/>
      <c r="C219" s="35" t="s">
        <v>103</v>
      </c>
      <c r="D219" s="45" t="s">
        <v>104</v>
      </c>
      <c r="E219" s="3">
        <v>33587.8</v>
      </c>
      <c r="F219" s="3">
        <v>185312.5</v>
      </c>
      <c r="G219" s="3">
        <v>103585.3</v>
      </c>
      <c r="H219" s="3">
        <v>82969.2</v>
      </c>
      <c r="I219" s="3">
        <f t="shared" si="19"/>
        <v>-20616.100000000006</v>
      </c>
      <c r="J219" s="4">
        <f t="shared" si="15"/>
        <v>80.09746556702542</v>
      </c>
      <c r="K219" s="4">
        <f t="shared" si="18"/>
        <v>44.772586846543</v>
      </c>
      <c r="L219" s="4">
        <f t="shared" si="16"/>
        <v>49381.399999999994</v>
      </c>
      <c r="M219" s="4">
        <f t="shared" si="17"/>
        <v>247.02183530924918</v>
      </c>
    </row>
    <row r="220" spans="1:13" ht="15.75">
      <c r="A220" s="73"/>
      <c r="B220" s="73"/>
      <c r="C220" s="35" t="s">
        <v>20</v>
      </c>
      <c r="D220" s="45" t="s">
        <v>21</v>
      </c>
      <c r="E220" s="3">
        <v>23614.1</v>
      </c>
      <c r="F220" s="3">
        <v>0</v>
      </c>
      <c r="G220" s="3">
        <v>0</v>
      </c>
      <c r="H220" s="3">
        <v>0</v>
      </c>
      <c r="I220" s="3">
        <f t="shared" si="19"/>
        <v>0</v>
      </c>
      <c r="J220" s="4"/>
      <c r="K220" s="4"/>
      <c r="L220" s="4">
        <f t="shared" si="16"/>
        <v>-23614.1</v>
      </c>
      <c r="M220" s="4">
        <f t="shared" si="17"/>
        <v>0</v>
      </c>
    </row>
    <row r="221" spans="1:13" s="2" customFormat="1" ht="15.75">
      <c r="A221" s="73"/>
      <c r="B221" s="73"/>
      <c r="C221" s="38"/>
      <c r="D221" s="46" t="s">
        <v>42</v>
      </c>
      <c r="E221" s="6">
        <f>SUM(E216:E220)</f>
        <v>6032941.7265625</v>
      </c>
      <c r="F221" s="6">
        <f>SUM(F216:F220)</f>
        <v>10418333.000000002</v>
      </c>
      <c r="G221" s="6">
        <f>SUM(G216:G220)</f>
        <v>6413387.699999999</v>
      </c>
      <c r="H221" s="6">
        <f>SUM(H216:H220)</f>
        <v>5860326.100000001</v>
      </c>
      <c r="I221" s="6">
        <f t="shared" si="19"/>
        <v>-553061.5999999987</v>
      </c>
      <c r="J221" s="6">
        <f t="shared" si="15"/>
        <v>91.37645148132869</v>
      </c>
      <c r="K221" s="6">
        <f t="shared" si="18"/>
        <v>56.250132338830014</v>
      </c>
      <c r="L221" s="6">
        <f t="shared" si="16"/>
        <v>-172615.62656249944</v>
      </c>
      <c r="M221" s="6">
        <f t="shared" si="17"/>
        <v>97.13878180187804</v>
      </c>
    </row>
    <row r="222" spans="1:13" s="2" customFormat="1" ht="15.75">
      <c r="A222" s="73"/>
      <c r="B222" s="73"/>
      <c r="C222" s="37"/>
      <c r="D222" s="46" t="s">
        <v>32</v>
      </c>
      <c r="E222" s="6">
        <f>E215+E221</f>
        <v>6153175.7265625</v>
      </c>
      <c r="F222" s="6">
        <f>F215+F221</f>
        <v>10557404.700000001</v>
      </c>
      <c r="G222" s="6">
        <f>G215+G221</f>
        <v>6506353.199999999</v>
      </c>
      <c r="H222" s="6">
        <f>H215+H221</f>
        <v>5897684.800000001</v>
      </c>
      <c r="I222" s="6">
        <f t="shared" si="19"/>
        <v>-608668.3999999985</v>
      </c>
      <c r="J222" s="6">
        <f t="shared" si="15"/>
        <v>90.64501447600479</v>
      </c>
      <c r="K222" s="6">
        <f t="shared" si="18"/>
        <v>55.86301716746731</v>
      </c>
      <c r="L222" s="6">
        <f t="shared" si="16"/>
        <v>-255490.92656249925</v>
      </c>
      <c r="M222" s="6">
        <f t="shared" si="17"/>
        <v>95.84782008647052</v>
      </c>
    </row>
    <row r="223" spans="1:13" s="2" customFormat="1" ht="15.75" hidden="1">
      <c r="A223" s="89">
        <v>955</v>
      </c>
      <c r="B223" s="73" t="s">
        <v>105</v>
      </c>
      <c r="C223" s="35" t="s">
        <v>51</v>
      </c>
      <c r="D223" s="44" t="s">
        <v>52</v>
      </c>
      <c r="E223" s="3">
        <v>0</v>
      </c>
      <c r="F223" s="3"/>
      <c r="G223" s="3"/>
      <c r="H223" s="3">
        <v>0</v>
      </c>
      <c r="I223" s="3">
        <f t="shared" si="19"/>
        <v>0</v>
      </c>
      <c r="J223" s="4" t="e">
        <f t="shared" si="15"/>
        <v>#DIV/0!</v>
      </c>
      <c r="K223" s="4" t="e">
        <f t="shared" si="18"/>
        <v>#DIV/0!</v>
      </c>
      <c r="L223" s="4">
        <f t="shared" si="16"/>
        <v>0</v>
      </c>
      <c r="M223" s="4" t="e">
        <f t="shared" si="17"/>
        <v>#DIV/0!</v>
      </c>
    </row>
    <row r="224" spans="1:13" s="2" customFormat="1" ht="63">
      <c r="A224" s="89"/>
      <c r="B224" s="73"/>
      <c r="C224" s="35" t="s">
        <v>12</v>
      </c>
      <c r="D224" s="44" t="s">
        <v>13</v>
      </c>
      <c r="E224" s="3">
        <v>10010</v>
      </c>
      <c r="F224" s="4">
        <v>9250</v>
      </c>
      <c r="G224" s="4">
        <v>9250</v>
      </c>
      <c r="H224" s="3">
        <v>9956.5</v>
      </c>
      <c r="I224" s="3">
        <f t="shared" si="19"/>
        <v>706.5</v>
      </c>
      <c r="J224" s="4">
        <f t="shared" si="15"/>
        <v>107.63783783783785</v>
      </c>
      <c r="K224" s="4">
        <f t="shared" si="18"/>
        <v>107.63783783783785</v>
      </c>
      <c r="L224" s="4">
        <f t="shared" si="16"/>
        <v>-53.5</v>
      </c>
      <c r="M224" s="4">
        <f t="shared" si="17"/>
        <v>99.46553446553446</v>
      </c>
    </row>
    <row r="225" spans="1:13" s="2" customFormat="1" ht="31.5">
      <c r="A225" s="89"/>
      <c r="B225" s="73"/>
      <c r="C225" s="35" t="s">
        <v>16</v>
      </c>
      <c r="D225" s="45" t="s">
        <v>17</v>
      </c>
      <c r="E225" s="3">
        <v>104.9</v>
      </c>
      <c r="F225" s="3">
        <v>0</v>
      </c>
      <c r="G225" s="3">
        <v>0</v>
      </c>
      <c r="H225" s="3">
        <v>84.4</v>
      </c>
      <c r="I225" s="3">
        <f t="shared" si="19"/>
        <v>84.4</v>
      </c>
      <c r="J225" s="4"/>
      <c r="K225" s="4"/>
      <c r="L225" s="4">
        <f t="shared" si="16"/>
        <v>-20.5</v>
      </c>
      <c r="M225" s="4">
        <f t="shared" si="17"/>
        <v>80.45757864632984</v>
      </c>
    </row>
    <row r="226" spans="1:13" s="2" customFormat="1" ht="15.75">
      <c r="A226" s="89"/>
      <c r="B226" s="73"/>
      <c r="C226" s="35" t="s">
        <v>20</v>
      </c>
      <c r="D226" s="45" t="s">
        <v>21</v>
      </c>
      <c r="E226" s="3">
        <v>78.5</v>
      </c>
      <c r="F226" s="3">
        <v>0</v>
      </c>
      <c r="G226" s="3">
        <v>0</v>
      </c>
      <c r="H226" s="3">
        <v>74.1</v>
      </c>
      <c r="I226" s="3">
        <f t="shared" si="19"/>
        <v>74.1</v>
      </c>
      <c r="J226" s="4"/>
      <c r="K226" s="4"/>
      <c r="L226" s="4">
        <f t="shared" si="16"/>
        <v>-4.400000000000006</v>
      </c>
      <c r="M226" s="4">
        <f t="shared" si="17"/>
        <v>94.39490445859872</v>
      </c>
    </row>
    <row r="227" spans="1:13" s="2" customFormat="1" ht="15.75">
      <c r="A227" s="89"/>
      <c r="B227" s="73"/>
      <c r="C227" s="35" t="s">
        <v>22</v>
      </c>
      <c r="D227" s="45" t="s">
        <v>23</v>
      </c>
      <c r="E227" s="3">
        <v>-1.2</v>
      </c>
      <c r="F227" s="3">
        <v>0</v>
      </c>
      <c r="G227" s="3">
        <v>0</v>
      </c>
      <c r="H227" s="3">
        <v>0</v>
      </c>
      <c r="I227" s="3">
        <f t="shared" si="19"/>
        <v>0</v>
      </c>
      <c r="J227" s="4"/>
      <c r="K227" s="4"/>
      <c r="L227" s="4">
        <f t="shared" si="16"/>
        <v>1.2</v>
      </c>
      <c r="M227" s="4">
        <f t="shared" si="17"/>
        <v>0</v>
      </c>
    </row>
    <row r="228" spans="1:13" s="2" customFormat="1" ht="15.75" hidden="1">
      <c r="A228" s="89"/>
      <c r="B228" s="73"/>
      <c r="C228" s="35" t="s">
        <v>24</v>
      </c>
      <c r="D228" s="45" t="s">
        <v>25</v>
      </c>
      <c r="E228" s="3"/>
      <c r="F228" s="3"/>
      <c r="G228" s="3"/>
      <c r="H228" s="3">
        <v>0</v>
      </c>
      <c r="I228" s="3">
        <f t="shared" si="19"/>
        <v>0</v>
      </c>
      <c r="J228" s="4" t="e">
        <f t="shared" si="15"/>
        <v>#DIV/0!</v>
      </c>
      <c r="K228" s="4" t="e">
        <f t="shared" si="18"/>
        <v>#DIV/0!</v>
      </c>
      <c r="L228" s="4">
        <f t="shared" si="16"/>
        <v>0</v>
      </c>
      <c r="M228" s="4" t="e">
        <f t="shared" si="17"/>
        <v>#DIV/0!</v>
      </c>
    </row>
    <row r="229" spans="1:13" ht="31.5">
      <c r="A229" s="89"/>
      <c r="B229" s="73"/>
      <c r="C229" s="35" t="s">
        <v>47</v>
      </c>
      <c r="D229" s="45" t="s">
        <v>48</v>
      </c>
      <c r="E229" s="4">
        <v>168459.2</v>
      </c>
      <c r="F229" s="3">
        <f>193526.3</f>
        <v>193526.3</v>
      </c>
      <c r="G229" s="3">
        <f>188333.4-54400</f>
        <v>133933.4</v>
      </c>
      <c r="H229" s="4">
        <v>133933.4</v>
      </c>
      <c r="I229" s="4">
        <f t="shared" si="19"/>
        <v>0</v>
      </c>
      <c r="J229" s="4">
        <f t="shared" si="15"/>
        <v>100</v>
      </c>
      <c r="K229" s="4">
        <f t="shared" si="18"/>
        <v>69.20682098505475</v>
      </c>
      <c r="L229" s="4">
        <f t="shared" si="16"/>
        <v>-34525.80000000002</v>
      </c>
      <c r="M229" s="4">
        <f t="shared" si="17"/>
        <v>79.50494837919211</v>
      </c>
    </row>
    <row r="230" spans="1:13" ht="94.5">
      <c r="A230" s="89"/>
      <c r="B230" s="73"/>
      <c r="C230" s="35" t="s">
        <v>59</v>
      </c>
      <c r="D230" s="48" t="s">
        <v>60</v>
      </c>
      <c r="E230" s="4">
        <v>0</v>
      </c>
      <c r="F230" s="4">
        <v>0</v>
      </c>
      <c r="G230" s="4">
        <v>0</v>
      </c>
      <c r="H230" s="4">
        <v>38.1</v>
      </c>
      <c r="I230" s="4">
        <f>H230-G230</f>
        <v>38.1</v>
      </c>
      <c r="J230" s="4"/>
      <c r="K230" s="4"/>
      <c r="L230" s="4">
        <f t="shared" si="16"/>
        <v>38.1</v>
      </c>
      <c r="M230" s="4"/>
    </row>
    <row r="231" spans="1:13" ht="47.25">
      <c r="A231" s="89"/>
      <c r="B231" s="73"/>
      <c r="C231" s="35" t="s">
        <v>30</v>
      </c>
      <c r="D231" s="45" t="s">
        <v>31</v>
      </c>
      <c r="E231" s="3">
        <v>-9.1</v>
      </c>
      <c r="F231" s="3">
        <v>0</v>
      </c>
      <c r="G231" s="3">
        <v>0</v>
      </c>
      <c r="H231" s="4">
        <v>-2926.8</v>
      </c>
      <c r="I231" s="4">
        <f t="shared" si="19"/>
        <v>-2926.8</v>
      </c>
      <c r="J231" s="4"/>
      <c r="K231" s="4"/>
      <c r="L231" s="4">
        <f t="shared" si="16"/>
        <v>-2917.7000000000003</v>
      </c>
      <c r="M231" s="4">
        <f t="shared" si="17"/>
        <v>32162.637362637368</v>
      </c>
    </row>
    <row r="232" spans="1:13" ht="15.75">
      <c r="A232" s="89"/>
      <c r="B232" s="73"/>
      <c r="C232" s="35"/>
      <c r="D232" s="46" t="s">
        <v>37</v>
      </c>
      <c r="E232" s="7">
        <f>SUBTOTAL(9,E223:E231)</f>
        <v>178642.30000000002</v>
      </c>
      <c r="F232" s="7">
        <f>SUBTOTAL(9,F223:F231)</f>
        <v>202776.3</v>
      </c>
      <c r="G232" s="7">
        <f>SUBTOTAL(9,G223:G231)</f>
        <v>143183.4</v>
      </c>
      <c r="H232" s="7">
        <f>SUBTOTAL(9,H223:H231)</f>
        <v>141159.7</v>
      </c>
      <c r="I232" s="7">
        <f t="shared" si="19"/>
        <v>-2023.6999999999825</v>
      </c>
      <c r="J232" s="7">
        <f t="shared" si="15"/>
        <v>98.586637836509</v>
      </c>
      <c r="K232" s="7">
        <f t="shared" si="18"/>
        <v>69.61351006010072</v>
      </c>
      <c r="L232" s="7">
        <f t="shared" si="16"/>
        <v>-37482.600000000006</v>
      </c>
      <c r="M232" s="7">
        <f t="shared" si="17"/>
        <v>79.01807130785934</v>
      </c>
    </row>
    <row r="233" spans="1:13" ht="15.75" hidden="1">
      <c r="A233" s="89"/>
      <c r="B233" s="73"/>
      <c r="C233" s="35" t="s">
        <v>20</v>
      </c>
      <c r="D233" s="45" t="s">
        <v>21</v>
      </c>
      <c r="E233" s="4">
        <v>0</v>
      </c>
      <c r="F233" s="4">
        <v>0</v>
      </c>
      <c r="G233" s="4">
        <v>0</v>
      </c>
      <c r="H233" s="4">
        <v>0</v>
      </c>
      <c r="I233" s="4">
        <f t="shared" si="19"/>
        <v>0</v>
      </c>
      <c r="J233" s="4" t="e">
        <f t="shared" si="15"/>
        <v>#DIV/0!</v>
      </c>
      <c r="K233" s="4" t="e">
        <f t="shared" si="18"/>
        <v>#DIV/0!</v>
      </c>
      <c r="L233" s="4">
        <f t="shared" si="16"/>
        <v>0</v>
      </c>
      <c r="M233" s="4" t="e">
        <f t="shared" si="17"/>
        <v>#DIV/0!</v>
      </c>
    </row>
    <row r="234" spans="1:13" ht="15.75" hidden="1">
      <c r="A234" s="89"/>
      <c r="B234" s="73"/>
      <c r="C234" s="35"/>
      <c r="D234" s="46" t="s">
        <v>42</v>
      </c>
      <c r="E234" s="7">
        <f>SUBTOTAL(9,E233)</f>
        <v>0</v>
      </c>
      <c r="F234" s="7">
        <f>SUBTOTAL(9,F233)</f>
        <v>0</v>
      </c>
      <c r="G234" s="7">
        <f>SUBTOTAL(9,G233)</f>
        <v>0</v>
      </c>
      <c r="H234" s="7">
        <f>H233</f>
        <v>0</v>
      </c>
      <c r="I234" s="7">
        <f t="shared" si="19"/>
        <v>0</v>
      </c>
      <c r="J234" s="4" t="e">
        <f t="shared" si="15"/>
        <v>#DIV/0!</v>
      </c>
      <c r="K234" s="4" t="e">
        <f t="shared" si="18"/>
        <v>#DIV/0!</v>
      </c>
      <c r="L234" s="4">
        <f t="shared" si="16"/>
        <v>0</v>
      </c>
      <c r="M234" s="4" t="e">
        <f t="shared" si="17"/>
        <v>#DIV/0!</v>
      </c>
    </row>
    <row r="235" spans="1:13" s="2" customFormat="1" ht="15.75">
      <c r="A235" s="89"/>
      <c r="B235" s="73"/>
      <c r="C235" s="62"/>
      <c r="D235" s="46" t="s">
        <v>32</v>
      </c>
      <c r="E235" s="7">
        <f>E232+E234</f>
        <v>178642.30000000002</v>
      </c>
      <c r="F235" s="7">
        <f>F232+F234</f>
        <v>202776.3</v>
      </c>
      <c r="G235" s="7">
        <f>G232+G234</f>
        <v>143183.4</v>
      </c>
      <c r="H235" s="7">
        <f>H232+H234</f>
        <v>141159.7</v>
      </c>
      <c r="I235" s="7">
        <f t="shared" si="19"/>
        <v>-2023.6999999999825</v>
      </c>
      <c r="J235" s="7">
        <f t="shared" si="15"/>
        <v>98.586637836509</v>
      </c>
      <c r="K235" s="7">
        <f t="shared" si="18"/>
        <v>69.61351006010072</v>
      </c>
      <c r="L235" s="7">
        <f t="shared" si="16"/>
        <v>-37482.600000000006</v>
      </c>
      <c r="M235" s="7">
        <f t="shared" si="17"/>
        <v>79.01807130785934</v>
      </c>
    </row>
    <row r="236" spans="1:13" s="2" customFormat="1" ht="31.5">
      <c r="A236" s="73" t="s">
        <v>106</v>
      </c>
      <c r="B236" s="73" t="s">
        <v>107</v>
      </c>
      <c r="C236" s="35" t="s">
        <v>16</v>
      </c>
      <c r="D236" s="45" t="s">
        <v>17</v>
      </c>
      <c r="E236" s="4">
        <v>650.8</v>
      </c>
      <c r="F236" s="4">
        <v>213.5</v>
      </c>
      <c r="G236" s="4">
        <v>139.5</v>
      </c>
      <c r="H236" s="4">
        <v>563.8</v>
      </c>
      <c r="I236" s="4">
        <f t="shared" si="19"/>
        <v>424.29999999999995</v>
      </c>
      <c r="J236" s="4">
        <f t="shared" si="15"/>
        <v>404.15770609319</v>
      </c>
      <c r="K236" s="4">
        <f t="shared" si="18"/>
        <v>264.0749414519906</v>
      </c>
      <c r="L236" s="4">
        <f t="shared" si="16"/>
        <v>-87</v>
      </c>
      <c r="M236" s="4">
        <f t="shared" si="17"/>
        <v>86.6318377381684</v>
      </c>
    </row>
    <row r="237" spans="1:13" s="2" customFormat="1" ht="110.25">
      <c r="A237" s="73"/>
      <c r="B237" s="73"/>
      <c r="C237" s="36" t="s">
        <v>65</v>
      </c>
      <c r="D237" s="44" t="s">
        <v>66</v>
      </c>
      <c r="E237" s="4">
        <v>0</v>
      </c>
      <c r="F237" s="4">
        <v>0</v>
      </c>
      <c r="G237" s="4">
        <v>0</v>
      </c>
      <c r="H237" s="4">
        <v>20.7</v>
      </c>
      <c r="I237" s="4">
        <f t="shared" si="19"/>
        <v>20.7</v>
      </c>
      <c r="J237" s="4"/>
      <c r="K237" s="4"/>
      <c r="L237" s="4">
        <f t="shared" si="16"/>
        <v>20.7</v>
      </c>
      <c r="M237" s="4"/>
    </row>
    <row r="238" spans="1:13" ht="15.75">
      <c r="A238" s="73"/>
      <c r="B238" s="73"/>
      <c r="C238" s="35" t="s">
        <v>20</v>
      </c>
      <c r="D238" s="45" t="s">
        <v>21</v>
      </c>
      <c r="E238" s="3">
        <v>955.7</v>
      </c>
      <c r="F238" s="3">
        <v>0</v>
      </c>
      <c r="G238" s="3">
        <v>0</v>
      </c>
      <c r="H238" s="3">
        <v>21.1</v>
      </c>
      <c r="I238" s="3">
        <f t="shared" si="19"/>
        <v>21.1</v>
      </c>
      <c r="J238" s="4"/>
      <c r="K238" s="4"/>
      <c r="L238" s="4">
        <f t="shared" si="16"/>
        <v>-934.6</v>
      </c>
      <c r="M238" s="4">
        <f t="shared" si="17"/>
        <v>2.2078057967981586</v>
      </c>
    </row>
    <row r="239" spans="1:13" ht="15.75" hidden="1">
      <c r="A239" s="73"/>
      <c r="B239" s="73"/>
      <c r="C239" s="35" t="s">
        <v>22</v>
      </c>
      <c r="D239" s="45" t="s">
        <v>23</v>
      </c>
      <c r="E239" s="3"/>
      <c r="F239" s="3">
        <v>0</v>
      </c>
      <c r="G239" s="3">
        <v>0</v>
      </c>
      <c r="H239" s="3">
        <v>0</v>
      </c>
      <c r="I239" s="3">
        <f t="shared" si="19"/>
        <v>0</v>
      </c>
      <c r="J239" s="4" t="e">
        <f t="shared" si="15"/>
        <v>#DIV/0!</v>
      </c>
      <c r="K239" s="4" t="e">
        <f t="shared" si="18"/>
        <v>#DIV/0!</v>
      </c>
      <c r="L239" s="4">
        <f t="shared" si="16"/>
        <v>0</v>
      </c>
      <c r="M239" s="4" t="e">
        <f t="shared" si="17"/>
        <v>#DIV/0!</v>
      </c>
    </row>
    <row r="240" spans="1:13" ht="15.75" hidden="1">
      <c r="A240" s="73"/>
      <c r="B240" s="73"/>
      <c r="C240" s="35" t="s">
        <v>24</v>
      </c>
      <c r="D240" s="45" t="s">
        <v>25</v>
      </c>
      <c r="E240" s="3"/>
      <c r="F240" s="3"/>
      <c r="G240" s="3"/>
      <c r="H240" s="3">
        <v>0</v>
      </c>
      <c r="I240" s="3">
        <f t="shared" si="19"/>
        <v>0</v>
      </c>
      <c r="J240" s="4" t="e">
        <f t="shared" si="15"/>
        <v>#DIV/0!</v>
      </c>
      <c r="K240" s="4" t="e">
        <f t="shared" si="18"/>
        <v>#DIV/0!</v>
      </c>
      <c r="L240" s="4">
        <f t="shared" si="16"/>
        <v>0</v>
      </c>
      <c r="M240" s="4" t="e">
        <f t="shared" si="17"/>
        <v>#DIV/0!</v>
      </c>
    </row>
    <row r="241" spans="1:13" ht="31.5">
      <c r="A241" s="73"/>
      <c r="B241" s="73"/>
      <c r="C241" s="35" t="s">
        <v>26</v>
      </c>
      <c r="D241" s="45" t="s">
        <v>27</v>
      </c>
      <c r="E241" s="3">
        <v>1401.9</v>
      </c>
      <c r="F241" s="3">
        <v>1443.1</v>
      </c>
      <c r="G241" s="3">
        <v>1443.1</v>
      </c>
      <c r="H241" s="3">
        <v>1443.1</v>
      </c>
      <c r="I241" s="3">
        <f t="shared" si="19"/>
        <v>0</v>
      </c>
      <c r="J241" s="4">
        <f t="shared" si="15"/>
        <v>100</v>
      </c>
      <c r="K241" s="4">
        <f t="shared" si="18"/>
        <v>100</v>
      </c>
      <c r="L241" s="4">
        <f t="shared" si="16"/>
        <v>41.19999999999982</v>
      </c>
      <c r="M241" s="4">
        <f t="shared" si="17"/>
        <v>102.93886867822239</v>
      </c>
    </row>
    <row r="242" spans="1:13" ht="31.5">
      <c r="A242" s="73"/>
      <c r="B242" s="73"/>
      <c r="C242" s="35" t="s">
        <v>47</v>
      </c>
      <c r="D242" s="45" t="s">
        <v>48</v>
      </c>
      <c r="E242" s="3">
        <v>0</v>
      </c>
      <c r="F242" s="3">
        <v>786.2</v>
      </c>
      <c r="G242" s="3">
        <v>0</v>
      </c>
      <c r="H242" s="3">
        <v>0</v>
      </c>
      <c r="I242" s="3">
        <f t="shared" si="19"/>
        <v>0</v>
      </c>
      <c r="J242" s="4"/>
      <c r="K242" s="4">
        <f t="shared" si="18"/>
        <v>0</v>
      </c>
      <c r="L242" s="4">
        <f t="shared" si="16"/>
        <v>0</v>
      </c>
      <c r="M242" s="4"/>
    </row>
    <row r="243" spans="1:13" ht="15.75" hidden="1">
      <c r="A243" s="73"/>
      <c r="B243" s="73"/>
      <c r="C243" s="35" t="s">
        <v>108</v>
      </c>
      <c r="D243" s="45" t="s">
        <v>29</v>
      </c>
      <c r="E243" s="3"/>
      <c r="F243" s="3"/>
      <c r="G243" s="3"/>
      <c r="H243" s="3">
        <v>0</v>
      </c>
      <c r="I243" s="3">
        <f t="shared" si="19"/>
        <v>0</v>
      </c>
      <c r="J243" s="4" t="e">
        <f t="shared" si="15"/>
        <v>#DIV/0!</v>
      </c>
      <c r="K243" s="4" t="e">
        <f t="shared" si="18"/>
        <v>#DIV/0!</v>
      </c>
      <c r="L243" s="4">
        <f t="shared" si="16"/>
        <v>0</v>
      </c>
      <c r="M243" s="4" t="e">
        <f t="shared" si="17"/>
        <v>#DIV/0!</v>
      </c>
    </row>
    <row r="244" spans="1:13" ht="47.25">
      <c r="A244" s="73"/>
      <c r="B244" s="73"/>
      <c r="C244" s="35" t="s">
        <v>30</v>
      </c>
      <c r="D244" s="45" t="s">
        <v>31</v>
      </c>
      <c r="E244" s="3">
        <v>-4008.6</v>
      </c>
      <c r="F244" s="3">
        <v>0</v>
      </c>
      <c r="G244" s="3">
        <v>0</v>
      </c>
      <c r="H244" s="3">
        <v>-506.5</v>
      </c>
      <c r="I244" s="3">
        <f t="shared" si="19"/>
        <v>-506.5</v>
      </c>
      <c r="J244" s="4"/>
      <c r="K244" s="4"/>
      <c r="L244" s="4">
        <f t="shared" si="16"/>
        <v>3502.1</v>
      </c>
      <c r="M244" s="4">
        <f t="shared" si="17"/>
        <v>12.635334031831563</v>
      </c>
    </row>
    <row r="245" spans="1:13" s="2" customFormat="1" ht="15.75">
      <c r="A245" s="73"/>
      <c r="B245" s="73"/>
      <c r="C245" s="37"/>
      <c r="D245" s="46" t="s">
        <v>37</v>
      </c>
      <c r="E245" s="7">
        <f>SUM(E236:E244)</f>
        <v>-1000.1999999999998</v>
      </c>
      <c r="F245" s="7">
        <f>SUM(F236:F244)</f>
        <v>2442.8</v>
      </c>
      <c r="G245" s="7">
        <f>SUM(G236:G244)</f>
        <v>1582.6</v>
      </c>
      <c r="H245" s="7">
        <f>SUM(H236:H244)</f>
        <v>1542.1999999999998</v>
      </c>
      <c r="I245" s="7">
        <f t="shared" si="19"/>
        <v>-40.40000000000009</v>
      </c>
      <c r="J245" s="7">
        <f t="shared" si="15"/>
        <v>97.44723872109186</v>
      </c>
      <c r="K245" s="7">
        <f t="shared" si="18"/>
        <v>63.132470934992625</v>
      </c>
      <c r="L245" s="7">
        <f t="shared" si="16"/>
        <v>2542.3999999999996</v>
      </c>
      <c r="M245" s="7">
        <f t="shared" si="17"/>
        <v>-154.1891621675665</v>
      </c>
    </row>
    <row r="246" spans="1:13" ht="15.75">
      <c r="A246" s="73"/>
      <c r="B246" s="73"/>
      <c r="C246" s="35" t="s">
        <v>38</v>
      </c>
      <c r="D246" s="45" t="s">
        <v>39</v>
      </c>
      <c r="E246" s="3">
        <v>129554</v>
      </c>
      <c r="F246" s="3">
        <v>196547.3</v>
      </c>
      <c r="G246" s="3">
        <v>127700</v>
      </c>
      <c r="H246" s="3">
        <v>136062.1</v>
      </c>
      <c r="I246" s="3">
        <f t="shared" si="19"/>
        <v>8362.100000000006</v>
      </c>
      <c r="J246" s="4">
        <f t="shared" si="15"/>
        <v>106.54823805794832</v>
      </c>
      <c r="K246" s="4">
        <f t="shared" si="18"/>
        <v>69.2261353882755</v>
      </c>
      <c r="L246" s="4">
        <f t="shared" si="16"/>
        <v>6508.100000000006</v>
      </c>
      <c r="M246" s="4">
        <f t="shared" si="17"/>
        <v>105.02346511879217</v>
      </c>
    </row>
    <row r="247" spans="1:13" ht="15.75">
      <c r="A247" s="73"/>
      <c r="B247" s="73"/>
      <c r="C247" s="35" t="s">
        <v>20</v>
      </c>
      <c r="D247" s="45" t="s">
        <v>21</v>
      </c>
      <c r="E247" s="3">
        <v>46535.8</v>
      </c>
      <c r="F247" s="3">
        <v>0</v>
      </c>
      <c r="G247" s="3">
        <v>0</v>
      </c>
      <c r="H247" s="3">
        <v>0</v>
      </c>
      <c r="I247" s="3">
        <f t="shared" si="19"/>
        <v>0</v>
      </c>
      <c r="J247" s="4"/>
      <c r="K247" s="4"/>
      <c r="L247" s="4">
        <f t="shared" si="16"/>
        <v>-46535.8</v>
      </c>
      <c r="M247" s="4">
        <f t="shared" si="17"/>
        <v>0</v>
      </c>
    </row>
    <row r="248" spans="1:13" s="2" customFormat="1" ht="15.75">
      <c r="A248" s="73"/>
      <c r="B248" s="73"/>
      <c r="C248" s="37"/>
      <c r="D248" s="46" t="s">
        <v>42</v>
      </c>
      <c r="E248" s="7">
        <f>SUM(E246:E247)</f>
        <v>176089.8</v>
      </c>
      <c r="F248" s="7">
        <f>SUM(F246:F247)</f>
        <v>196547.3</v>
      </c>
      <c r="G248" s="7">
        <f>SUM(G246:G247)</f>
        <v>127700</v>
      </c>
      <c r="H248" s="7">
        <f>SUM(H246:H247)</f>
        <v>136062.1</v>
      </c>
      <c r="I248" s="7">
        <f t="shared" si="19"/>
        <v>8362.100000000006</v>
      </c>
      <c r="J248" s="7">
        <f t="shared" si="15"/>
        <v>106.54823805794832</v>
      </c>
      <c r="K248" s="7">
        <f t="shared" si="18"/>
        <v>69.2261353882755</v>
      </c>
      <c r="L248" s="7">
        <f t="shared" si="16"/>
        <v>-40027.69999999998</v>
      </c>
      <c r="M248" s="7">
        <f t="shared" si="17"/>
        <v>77.26858682331402</v>
      </c>
    </row>
    <row r="249" spans="1:13" s="2" customFormat="1" ht="15.75">
      <c r="A249" s="73"/>
      <c r="B249" s="73"/>
      <c r="C249" s="37"/>
      <c r="D249" s="46" t="s">
        <v>32</v>
      </c>
      <c r="E249" s="7">
        <f>E245+E248</f>
        <v>175089.59999999998</v>
      </c>
      <c r="F249" s="7">
        <f>F245+F248</f>
        <v>198990.09999999998</v>
      </c>
      <c r="G249" s="7">
        <f>G245+G248</f>
        <v>129282.6</v>
      </c>
      <c r="H249" s="7">
        <f>H245+H248</f>
        <v>137604.30000000002</v>
      </c>
      <c r="I249" s="7">
        <f t="shared" si="19"/>
        <v>8321.700000000012</v>
      </c>
      <c r="J249" s="7">
        <f t="shared" si="15"/>
        <v>106.4368290860487</v>
      </c>
      <c r="K249" s="7">
        <f t="shared" si="18"/>
        <v>69.1513296390122</v>
      </c>
      <c r="L249" s="7">
        <f t="shared" si="16"/>
        <v>-37485.29999999996</v>
      </c>
      <c r="M249" s="7">
        <f t="shared" si="17"/>
        <v>78.5907900869041</v>
      </c>
    </row>
    <row r="250" spans="1:13" s="2" customFormat="1" ht="15.75">
      <c r="A250" s="73" t="s">
        <v>109</v>
      </c>
      <c r="B250" s="73" t="s">
        <v>110</v>
      </c>
      <c r="C250" s="35" t="s">
        <v>51</v>
      </c>
      <c r="D250" s="44" t="s">
        <v>52</v>
      </c>
      <c r="E250" s="4">
        <v>502.7</v>
      </c>
      <c r="F250" s="4">
        <v>815.8</v>
      </c>
      <c r="G250" s="4">
        <v>543.8</v>
      </c>
      <c r="H250" s="4">
        <v>249.5</v>
      </c>
      <c r="I250" s="4">
        <f t="shared" si="19"/>
        <v>-294.29999999999995</v>
      </c>
      <c r="J250" s="4">
        <f t="shared" si="15"/>
        <v>45.8808385435822</v>
      </c>
      <c r="K250" s="4">
        <f t="shared" si="18"/>
        <v>30.583476342240743</v>
      </c>
      <c r="L250" s="4">
        <f t="shared" si="16"/>
        <v>-253.2</v>
      </c>
      <c r="M250" s="4">
        <f t="shared" si="17"/>
        <v>49.63198726874876</v>
      </c>
    </row>
    <row r="251" spans="1:13" s="2" customFormat="1" ht="63" hidden="1">
      <c r="A251" s="73"/>
      <c r="B251" s="73"/>
      <c r="C251" s="35" t="s">
        <v>12</v>
      </c>
      <c r="D251" s="44" t="s">
        <v>13</v>
      </c>
      <c r="E251" s="4"/>
      <c r="F251" s="4"/>
      <c r="G251" s="4"/>
      <c r="H251" s="4">
        <v>0</v>
      </c>
      <c r="I251" s="4">
        <f t="shared" si="19"/>
        <v>0</v>
      </c>
      <c r="J251" s="4" t="e">
        <f t="shared" si="15"/>
        <v>#DIV/0!</v>
      </c>
      <c r="K251" s="4" t="e">
        <f t="shared" si="18"/>
        <v>#DIV/0!</v>
      </c>
      <c r="L251" s="4">
        <f t="shared" si="16"/>
        <v>0</v>
      </c>
      <c r="M251" s="4" t="e">
        <f t="shared" si="17"/>
        <v>#DIV/0!</v>
      </c>
    </row>
    <row r="252" spans="1:13" ht="31.5">
      <c r="A252" s="73"/>
      <c r="B252" s="73"/>
      <c r="C252" s="35" t="s">
        <v>16</v>
      </c>
      <c r="D252" s="45" t="s">
        <v>17</v>
      </c>
      <c r="E252" s="3">
        <v>2048.8</v>
      </c>
      <c r="F252" s="3">
        <v>0</v>
      </c>
      <c r="G252" s="3">
        <v>0</v>
      </c>
      <c r="H252" s="3">
        <v>1693.1</v>
      </c>
      <c r="I252" s="3">
        <f t="shared" si="19"/>
        <v>1693.1</v>
      </c>
      <c r="J252" s="4"/>
      <c r="K252" s="4"/>
      <c r="L252" s="4">
        <f t="shared" si="16"/>
        <v>-355.7000000000003</v>
      </c>
      <c r="M252" s="4">
        <f t="shared" si="17"/>
        <v>82.6386177274502</v>
      </c>
    </row>
    <row r="253" spans="1:13" ht="15.75">
      <c r="A253" s="73"/>
      <c r="B253" s="73"/>
      <c r="C253" s="35" t="s">
        <v>20</v>
      </c>
      <c r="D253" s="45" t="s">
        <v>21</v>
      </c>
      <c r="E253" s="3">
        <v>186.8</v>
      </c>
      <c r="F253" s="3">
        <v>0</v>
      </c>
      <c r="G253" s="3">
        <v>0</v>
      </c>
      <c r="H253" s="3">
        <v>0</v>
      </c>
      <c r="I253" s="3">
        <f t="shared" si="19"/>
        <v>0</v>
      </c>
      <c r="J253" s="4"/>
      <c r="K253" s="4"/>
      <c r="L253" s="4">
        <f t="shared" si="16"/>
        <v>-186.8</v>
      </c>
      <c r="M253" s="4">
        <f t="shared" si="17"/>
        <v>0</v>
      </c>
    </row>
    <row r="254" spans="1:13" ht="15.75">
      <c r="A254" s="73"/>
      <c r="B254" s="73"/>
      <c r="C254" s="35" t="s">
        <v>22</v>
      </c>
      <c r="D254" s="45" t="s">
        <v>23</v>
      </c>
      <c r="E254" s="3">
        <v>0</v>
      </c>
      <c r="F254" s="3">
        <v>0</v>
      </c>
      <c r="G254" s="3">
        <v>0</v>
      </c>
      <c r="H254" s="3">
        <v>0.9</v>
      </c>
      <c r="I254" s="3">
        <f t="shared" si="19"/>
        <v>0.9</v>
      </c>
      <c r="J254" s="4"/>
      <c r="K254" s="4"/>
      <c r="L254" s="4">
        <f t="shared" si="16"/>
        <v>0.9</v>
      </c>
      <c r="M254" s="4"/>
    </row>
    <row r="255" spans="1:13" ht="15.75" customHeight="1" hidden="1">
      <c r="A255" s="73"/>
      <c r="B255" s="73"/>
      <c r="C255" s="35" t="s">
        <v>24</v>
      </c>
      <c r="D255" s="45" t="s">
        <v>25</v>
      </c>
      <c r="E255" s="3">
        <v>0</v>
      </c>
      <c r="F255" s="3"/>
      <c r="G255" s="3"/>
      <c r="H255" s="3">
        <v>0</v>
      </c>
      <c r="I255" s="3">
        <f t="shared" si="19"/>
        <v>0</v>
      </c>
      <c r="J255" s="4" t="e">
        <f t="shared" si="15"/>
        <v>#DIV/0!</v>
      </c>
      <c r="K255" s="4" t="e">
        <f t="shared" si="18"/>
        <v>#DIV/0!</v>
      </c>
      <c r="L255" s="4">
        <f t="shared" si="16"/>
        <v>0</v>
      </c>
      <c r="M255" s="4" t="e">
        <f t="shared" si="17"/>
        <v>#DIV/0!</v>
      </c>
    </row>
    <row r="256" spans="1:13" ht="31.5" hidden="1">
      <c r="A256" s="73"/>
      <c r="B256" s="73"/>
      <c r="C256" s="35" t="s">
        <v>47</v>
      </c>
      <c r="D256" s="45" t="s">
        <v>48</v>
      </c>
      <c r="E256" s="3">
        <v>0</v>
      </c>
      <c r="F256" s="60">
        <v>0</v>
      </c>
      <c r="G256" s="60">
        <v>0</v>
      </c>
      <c r="H256" s="3">
        <v>0</v>
      </c>
      <c r="I256" s="3">
        <f t="shared" si="19"/>
        <v>0</v>
      </c>
      <c r="J256" s="4" t="e">
        <f t="shared" si="15"/>
        <v>#DIV/0!</v>
      </c>
      <c r="K256" s="4" t="e">
        <f t="shared" si="18"/>
        <v>#DIV/0!</v>
      </c>
      <c r="L256" s="4">
        <f t="shared" si="16"/>
        <v>0</v>
      </c>
      <c r="M256" s="4" t="e">
        <f t="shared" si="17"/>
        <v>#DIV/0!</v>
      </c>
    </row>
    <row r="257" spans="1:13" ht="47.25" hidden="1">
      <c r="A257" s="73"/>
      <c r="B257" s="73"/>
      <c r="C257" s="35" t="s">
        <v>30</v>
      </c>
      <c r="D257" s="45" t="s">
        <v>31</v>
      </c>
      <c r="E257" s="3">
        <v>0</v>
      </c>
      <c r="F257" s="3">
        <v>0</v>
      </c>
      <c r="G257" s="3">
        <v>0</v>
      </c>
      <c r="H257" s="3">
        <v>0</v>
      </c>
      <c r="I257" s="3">
        <f t="shared" si="19"/>
        <v>0</v>
      </c>
      <c r="J257" s="4" t="e">
        <f t="shared" si="15"/>
        <v>#DIV/0!</v>
      </c>
      <c r="K257" s="4" t="e">
        <f t="shared" si="18"/>
        <v>#DIV/0!</v>
      </c>
      <c r="L257" s="4">
        <f t="shared" si="16"/>
        <v>0</v>
      </c>
      <c r="M257" s="4" t="e">
        <f t="shared" si="17"/>
        <v>#DIV/0!</v>
      </c>
    </row>
    <row r="258" spans="1:13" s="2" customFormat="1" ht="15.75">
      <c r="A258" s="73"/>
      <c r="B258" s="73"/>
      <c r="C258" s="37"/>
      <c r="D258" s="46" t="s">
        <v>32</v>
      </c>
      <c r="E258" s="7">
        <f>SUM(E250:E257)</f>
        <v>2738.3</v>
      </c>
      <c r="F258" s="7">
        <f>SUM(F250:F257)</f>
        <v>815.8</v>
      </c>
      <c r="G258" s="7">
        <f>SUM(G250:G257)</f>
        <v>543.8</v>
      </c>
      <c r="H258" s="7">
        <f>SUM(H250:H257)</f>
        <v>1943.5</v>
      </c>
      <c r="I258" s="7">
        <f t="shared" si="19"/>
        <v>1399.7</v>
      </c>
      <c r="J258" s="7">
        <f t="shared" si="15"/>
        <v>357.39242368517836</v>
      </c>
      <c r="K258" s="7">
        <f t="shared" si="18"/>
        <v>238.23240990438833</v>
      </c>
      <c r="L258" s="7">
        <f t="shared" si="16"/>
        <v>-794.8000000000002</v>
      </c>
      <c r="M258" s="7">
        <f t="shared" si="17"/>
        <v>70.97469232735638</v>
      </c>
    </row>
    <row r="259" spans="1:13" s="2" customFormat="1" ht="15.75" hidden="1">
      <c r="A259" s="73" t="s">
        <v>111</v>
      </c>
      <c r="B259" s="73" t="s">
        <v>112</v>
      </c>
      <c r="C259" s="35" t="s">
        <v>51</v>
      </c>
      <c r="D259" s="44" t="s">
        <v>52</v>
      </c>
      <c r="E259" s="4">
        <v>0</v>
      </c>
      <c r="F259" s="4"/>
      <c r="G259" s="4"/>
      <c r="H259" s="4">
        <v>0</v>
      </c>
      <c r="I259" s="4">
        <f t="shared" si="19"/>
        <v>0</v>
      </c>
      <c r="J259" s="4" t="e">
        <f t="shared" si="15"/>
        <v>#DIV/0!</v>
      </c>
      <c r="K259" s="4" t="e">
        <f t="shared" si="18"/>
        <v>#DIV/0!</v>
      </c>
      <c r="L259" s="4">
        <f t="shared" si="16"/>
        <v>0</v>
      </c>
      <c r="M259" s="4" t="e">
        <f t="shared" si="17"/>
        <v>#DIV/0!</v>
      </c>
    </row>
    <row r="260" spans="1:13" s="2" customFormat="1" ht="110.25" hidden="1">
      <c r="A260" s="73"/>
      <c r="B260" s="73"/>
      <c r="C260" s="35" t="s">
        <v>63</v>
      </c>
      <c r="D260" s="45" t="s">
        <v>64</v>
      </c>
      <c r="E260" s="4">
        <v>0</v>
      </c>
      <c r="F260" s="4">
        <v>0</v>
      </c>
      <c r="G260" s="4">
        <v>0</v>
      </c>
      <c r="H260" s="4">
        <v>0</v>
      </c>
      <c r="I260" s="4">
        <f t="shared" si="19"/>
        <v>0</v>
      </c>
      <c r="J260" s="4" t="e">
        <f t="shared" si="15"/>
        <v>#DIV/0!</v>
      </c>
      <c r="K260" s="4" t="e">
        <f t="shared" si="18"/>
        <v>#DIV/0!</v>
      </c>
      <c r="L260" s="4">
        <f t="shared" si="16"/>
        <v>0</v>
      </c>
      <c r="M260" s="4" t="e">
        <f t="shared" si="17"/>
        <v>#DIV/0!</v>
      </c>
    </row>
    <row r="261" spans="1:13" s="2" customFormat="1" ht="31.5">
      <c r="A261" s="73"/>
      <c r="B261" s="73"/>
      <c r="C261" s="35" t="s">
        <v>16</v>
      </c>
      <c r="D261" s="45" t="s">
        <v>17</v>
      </c>
      <c r="E261" s="4">
        <v>110.8</v>
      </c>
      <c r="F261" s="4">
        <v>0</v>
      </c>
      <c r="G261" s="4">
        <v>0</v>
      </c>
      <c r="H261" s="4">
        <v>93.8</v>
      </c>
      <c r="I261" s="4">
        <f t="shared" si="19"/>
        <v>93.8</v>
      </c>
      <c r="J261" s="4"/>
      <c r="K261" s="4"/>
      <c r="L261" s="4">
        <f t="shared" si="16"/>
        <v>-17</v>
      </c>
      <c r="M261" s="4">
        <f t="shared" si="17"/>
        <v>84.65703971119135</v>
      </c>
    </row>
    <row r="262" spans="1:13" s="2" customFormat="1" ht="110.25" hidden="1">
      <c r="A262" s="73"/>
      <c r="B262" s="73"/>
      <c r="C262" s="36" t="s">
        <v>65</v>
      </c>
      <c r="D262" s="44" t="s">
        <v>66</v>
      </c>
      <c r="E262" s="4"/>
      <c r="F262" s="4">
        <v>0</v>
      </c>
      <c r="G262" s="4">
        <v>0</v>
      </c>
      <c r="H262" s="4">
        <v>0</v>
      </c>
      <c r="I262" s="4">
        <f t="shared" si="19"/>
        <v>0</v>
      </c>
      <c r="J262" s="4"/>
      <c r="K262" s="4"/>
      <c r="L262" s="4">
        <f aca="true" t="shared" si="20" ref="L262:L320">H262-E262</f>
        <v>0</v>
      </c>
      <c r="M262" s="4" t="e">
        <f aca="true" t="shared" si="21" ref="M262:M320">H262/E262*100</f>
        <v>#DIV/0!</v>
      </c>
    </row>
    <row r="263" spans="1:13" s="2" customFormat="1" ht="15.75">
      <c r="A263" s="73"/>
      <c r="B263" s="73"/>
      <c r="C263" s="35" t="s">
        <v>20</v>
      </c>
      <c r="D263" s="45" t="s">
        <v>21</v>
      </c>
      <c r="E263" s="4">
        <v>64.1</v>
      </c>
      <c r="F263" s="4">
        <v>0</v>
      </c>
      <c r="G263" s="4">
        <v>0</v>
      </c>
      <c r="H263" s="4">
        <v>0</v>
      </c>
      <c r="I263" s="4">
        <f t="shared" si="19"/>
        <v>0</v>
      </c>
      <c r="J263" s="4"/>
      <c r="K263" s="4"/>
      <c r="L263" s="4">
        <f t="shared" si="20"/>
        <v>-64.1</v>
      </c>
      <c r="M263" s="4">
        <f t="shared" si="21"/>
        <v>0</v>
      </c>
    </row>
    <row r="264" spans="1:13" s="2" customFormat="1" ht="15.75" hidden="1">
      <c r="A264" s="73"/>
      <c r="B264" s="73"/>
      <c r="C264" s="35" t="s">
        <v>22</v>
      </c>
      <c r="D264" s="45" t="s">
        <v>23</v>
      </c>
      <c r="E264" s="4">
        <v>0</v>
      </c>
      <c r="F264" s="4">
        <v>0</v>
      </c>
      <c r="G264" s="4">
        <v>0</v>
      </c>
      <c r="H264" s="4">
        <v>0</v>
      </c>
      <c r="I264" s="4">
        <f t="shared" si="19"/>
        <v>0</v>
      </c>
      <c r="J264" s="4" t="e">
        <f aca="true" t="shared" si="22" ref="J264:J320">H264/G264*100</f>
        <v>#DIV/0!</v>
      </c>
      <c r="K264" s="4" t="e">
        <f aca="true" t="shared" si="23" ref="K264:K320">H264/F264*100</f>
        <v>#DIV/0!</v>
      </c>
      <c r="L264" s="4">
        <f t="shared" si="20"/>
        <v>0</v>
      </c>
      <c r="M264" s="4" t="e">
        <f t="shared" si="21"/>
        <v>#DIV/0!</v>
      </c>
    </row>
    <row r="265" spans="1:13" s="2" customFormat="1" ht="15.75" hidden="1">
      <c r="A265" s="73"/>
      <c r="B265" s="73"/>
      <c r="C265" s="35" t="s">
        <v>24</v>
      </c>
      <c r="D265" s="45" t="s">
        <v>25</v>
      </c>
      <c r="E265" s="4"/>
      <c r="F265" s="7"/>
      <c r="G265" s="7"/>
      <c r="H265" s="4">
        <v>0</v>
      </c>
      <c r="I265" s="4">
        <f t="shared" si="19"/>
        <v>0</v>
      </c>
      <c r="J265" s="4" t="e">
        <f t="shared" si="22"/>
        <v>#DIV/0!</v>
      </c>
      <c r="K265" s="4" t="e">
        <f t="shared" si="23"/>
        <v>#DIV/0!</v>
      </c>
      <c r="L265" s="4">
        <f t="shared" si="20"/>
        <v>0</v>
      </c>
      <c r="M265" s="4" t="e">
        <f t="shared" si="21"/>
        <v>#DIV/0!</v>
      </c>
    </row>
    <row r="266" spans="1:13" ht="31.5">
      <c r="A266" s="73"/>
      <c r="B266" s="73"/>
      <c r="C266" s="35" t="s">
        <v>26</v>
      </c>
      <c r="D266" s="45" t="s">
        <v>27</v>
      </c>
      <c r="E266" s="4">
        <v>48958.4</v>
      </c>
      <c r="F266" s="4">
        <v>12710.9</v>
      </c>
      <c r="G266" s="4">
        <f>8934.5+1132.9+222.6</f>
        <v>10290</v>
      </c>
      <c r="H266" s="4">
        <v>10289.9</v>
      </c>
      <c r="I266" s="4">
        <f t="shared" si="19"/>
        <v>-0.1000000000003638</v>
      </c>
      <c r="J266" s="4">
        <f t="shared" si="22"/>
        <v>99.99902818270165</v>
      </c>
      <c r="K266" s="4">
        <f t="shared" si="23"/>
        <v>80.95335499453226</v>
      </c>
      <c r="L266" s="4">
        <f t="shared" si="20"/>
        <v>-38668.5</v>
      </c>
      <c r="M266" s="4">
        <f t="shared" si="21"/>
        <v>21.017639465342004</v>
      </c>
    </row>
    <row r="267" spans="1:13" ht="31.5" hidden="1">
      <c r="A267" s="73"/>
      <c r="B267" s="73"/>
      <c r="C267" s="35" t="s">
        <v>47</v>
      </c>
      <c r="D267" s="45" t="s">
        <v>48</v>
      </c>
      <c r="E267" s="4"/>
      <c r="F267" s="4">
        <v>0</v>
      </c>
      <c r="G267" s="4">
        <v>0</v>
      </c>
      <c r="H267" s="4">
        <v>0</v>
      </c>
      <c r="I267" s="4">
        <f t="shared" si="19"/>
        <v>0</v>
      </c>
      <c r="J267" s="4" t="e">
        <f t="shared" si="22"/>
        <v>#DIV/0!</v>
      </c>
      <c r="K267" s="4" t="e">
        <f t="shared" si="23"/>
        <v>#DIV/0!</v>
      </c>
      <c r="L267" s="4">
        <f t="shared" si="20"/>
        <v>0</v>
      </c>
      <c r="M267" s="4" t="e">
        <f t="shared" si="21"/>
        <v>#DIV/0!</v>
      </c>
    </row>
    <row r="268" spans="1:13" ht="15.75">
      <c r="A268" s="73"/>
      <c r="B268" s="73"/>
      <c r="C268" s="35" t="s">
        <v>28</v>
      </c>
      <c r="D268" s="45" t="s">
        <v>29</v>
      </c>
      <c r="E268" s="4">
        <v>41247.8</v>
      </c>
      <c r="F268" s="4">
        <v>0</v>
      </c>
      <c r="G268" s="4">
        <v>0</v>
      </c>
      <c r="H268" s="4">
        <v>0</v>
      </c>
      <c r="I268" s="4">
        <f t="shared" si="19"/>
        <v>0</v>
      </c>
      <c r="J268" s="4"/>
      <c r="K268" s="4"/>
      <c r="L268" s="4">
        <f t="shared" si="20"/>
        <v>-41247.8</v>
      </c>
      <c r="M268" s="4">
        <f t="shared" si="21"/>
        <v>0</v>
      </c>
    </row>
    <row r="269" spans="1:13" ht="94.5">
      <c r="A269" s="73"/>
      <c r="B269" s="73"/>
      <c r="C269" s="35" t="s">
        <v>59</v>
      </c>
      <c r="D269" s="48" t="s">
        <v>60</v>
      </c>
      <c r="E269" s="4">
        <v>765.3</v>
      </c>
      <c r="F269" s="4">
        <v>786.3</v>
      </c>
      <c r="G269" s="4">
        <v>786.3</v>
      </c>
      <c r="H269" s="4">
        <v>3976.9</v>
      </c>
      <c r="I269" s="4">
        <f t="shared" si="19"/>
        <v>3190.6000000000004</v>
      </c>
      <c r="J269" s="4">
        <f t="shared" si="22"/>
        <v>505.77387765483917</v>
      </c>
      <c r="K269" s="4">
        <f t="shared" si="23"/>
        <v>505.77387765483917</v>
      </c>
      <c r="L269" s="4">
        <f t="shared" si="20"/>
        <v>3211.6000000000004</v>
      </c>
      <c r="M269" s="4">
        <f t="shared" si="21"/>
        <v>519.6524238860578</v>
      </c>
    </row>
    <row r="270" spans="1:13" ht="47.25">
      <c r="A270" s="73"/>
      <c r="B270" s="73"/>
      <c r="C270" s="35" t="s">
        <v>30</v>
      </c>
      <c r="D270" s="45" t="s">
        <v>31</v>
      </c>
      <c r="E270" s="4">
        <v>-18.1</v>
      </c>
      <c r="F270" s="4">
        <v>0</v>
      </c>
      <c r="G270" s="4">
        <v>0</v>
      </c>
      <c r="H270" s="4">
        <v>-152.9</v>
      </c>
      <c r="I270" s="4">
        <f t="shared" si="19"/>
        <v>-152.9</v>
      </c>
      <c r="J270" s="4"/>
      <c r="K270" s="4"/>
      <c r="L270" s="4">
        <f t="shared" si="20"/>
        <v>-134.8</v>
      </c>
      <c r="M270" s="4">
        <f t="shared" si="21"/>
        <v>844.7513812154696</v>
      </c>
    </row>
    <row r="271" spans="1:13" s="2" customFormat="1" ht="15.75">
      <c r="A271" s="73"/>
      <c r="B271" s="73"/>
      <c r="C271" s="37"/>
      <c r="D271" s="46" t="s">
        <v>32</v>
      </c>
      <c r="E271" s="7">
        <f>SUM(E259:E270)</f>
        <v>91128.3</v>
      </c>
      <c r="F271" s="7">
        <f>SUM(F259:F270)</f>
        <v>13497.199999999999</v>
      </c>
      <c r="G271" s="7">
        <f>SUM(G259:G270)</f>
        <v>11076.3</v>
      </c>
      <c r="H271" s="7">
        <f>SUM(H259:H270)</f>
        <v>14207.699999999999</v>
      </c>
      <c r="I271" s="7">
        <f t="shared" si="19"/>
        <v>3131.3999999999996</v>
      </c>
      <c r="J271" s="7">
        <f t="shared" si="22"/>
        <v>128.2711735868476</v>
      </c>
      <c r="K271" s="7">
        <f t="shared" si="23"/>
        <v>105.26405476691463</v>
      </c>
      <c r="L271" s="7">
        <f t="shared" si="20"/>
        <v>-76920.6</v>
      </c>
      <c r="M271" s="7">
        <f t="shared" si="21"/>
        <v>15.59087572137305</v>
      </c>
    </row>
    <row r="272" spans="1:13" s="2" customFormat="1" ht="31.5">
      <c r="A272" s="82">
        <v>977</v>
      </c>
      <c r="B272" s="73" t="s">
        <v>113</v>
      </c>
      <c r="C272" s="35" t="s">
        <v>16</v>
      </c>
      <c r="D272" s="45" t="s">
        <v>17</v>
      </c>
      <c r="E272" s="4">
        <v>135.2</v>
      </c>
      <c r="F272" s="4">
        <v>0</v>
      </c>
      <c r="G272" s="4">
        <v>0</v>
      </c>
      <c r="H272" s="4">
        <v>0</v>
      </c>
      <c r="I272" s="4">
        <f t="shared" si="19"/>
        <v>0</v>
      </c>
      <c r="J272" s="4"/>
      <c r="K272" s="4"/>
      <c r="L272" s="4">
        <f t="shared" si="20"/>
        <v>-135.2</v>
      </c>
      <c r="M272" s="4">
        <f t="shared" si="21"/>
        <v>0</v>
      </c>
    </row>
    <row r="273" spans="1:13" s="2" customFormat="1" ht="15.75">
      <c r="A273" s="82"/>
      <c r="B273" s="73"/>
      <c r="C273" s="35" t="s">
        <v>20</v>
      </c>
      <c r="D273" s="45" t="s">
        <v>21</v>
      </c>
      <c r="E273" s="4">
        <v>38.5</v>
      </c>
      <c r="F273" s="4">
        <v>0</v>
      </c>
      <c r="G273" s="4">
        <v>0</v>
      </c>
      <c r="H273" s="4">
        <v>6.6</v>
      </c>
      <c r="I273" s="4">
        <f t="shared" si="19"/>
        <v>6.6</v>
      </c>
      <c r="J273" s="4"/>
      <c r="K273" s="4"/>
      <c r="L273" s="4">
        <f t="shared" si="20"/>
        <v>-31.9</v>
      </c>
      <c r="M273" s="4">
        <f t="shared" si="21"/>
        <v>17.142857142857142</v>
      </c>
    </row>
    <row r="274" spans="1:13" s="2" customFormat="1" ht="15.75" hidden="1">
      <c r="A274" s="82"/>
      <c r="B274" s="73"/>
      <c r="C274" s="35" t="s">
        <v>22</v>
      </c>
      <c r="D274" s="45" t="s">
        <v>23</v>
      </c>
      <c r="E274" s="4">
        <v>0</v>
      </c>
      <c r="F274" s="4"/>
      <c r="G274" s="4"/>
      <c r="H274" s="4">
        <v>0</v>
      </c>
      <c r="I274" s="4">
        <f t="shared" si="19"/>
        <v>0</v>
      </c>
      <c r="J274" s="4"/>
      <c r="K274" s="4"/>
      <c r="L274" s="4">
        <f t="shared" si="20"/>
        <v>0</v>
      </c>
      <c r="M274" s="4" t="e">
        <f t="shared" si="21"/>
        <v>#DIV/0!</v>
      </c>
    </row>
    <row r="275" spans="1:13" s="2" customFormat="1" ht="15.75">
      <c r="A275" s="82"/>
      <c r="B275" s="73"/>
      <c r="C275" s="62"/>
      <c r="D275" s="46" t="s">
        <v>32</v>
      </c>
      <c r="E275" s="7">
        <f>SUM(E272:E274)</f>
        <v>173.7</v>
      </c>
      <c r="F275" s="7">
        <f>SUM(F272:F274)</f>
        <v>0</v>
      </c>
      <c r="G275" s="7">
        <f>SUM(G272:G274)</f>
        <v>0</v>
      </c>
      <c r="H275" s="7">
        <f>SUM(H272:H274)</f>
        <v>6.6</v>
      </c>
      <c r="I275" s="7">
        <f t="shared" si="19"/>
        <v>6.6</v>
      </c>
      <c r="J275" s="4"/>
      <c r="K275" s="4"/>
      <c r="L275" s="7">
        <f t="shared" si="20"/>
        <v>-167.1</v>
      </c>
      <c r="M275" s="7">
        <f t="shared" si="21"/>
        <v>3.7996545768566494</v>
      </c>
    </row>
    <row r="276" spans="1:13" s="2" customFormat="1" ht="31.5" hidden="1">
      <c r="A276" s="86">
        <v>978</v>
      </c>
      <c r="B276" s="83" t="s">
        <v>114</v>
      </c>
      <c r="C276" s="35" t="s">
        <v>16</v>
      </c>
      <c r="D276" s="45" t="s">
        <v>17</v>
      </c>
      <c r="E276" s="9">
        <v>0</v>
      </c>
      <c r="F276" s="9">
        <v>0</v>
      </c>
      <c r="G276" s="9">
        <v>0</v>
      </c>
      <c r="H276" s="4">
        <v>0</v>
      </c>
      <c r="I276" s="9">
        <f t="shared" si="19"/>
        <v>0</v>
      </c>
      <c r="J276" s="4"/>
      <c r="K276" s="4"/>
      <c r="L276" s="7">
        <f t="shared" si="20"/>
        <v>0</v>
      </c>
      <c r="M276" s="7" t="e">
        <f t="shared" si="21"/>
        <v>#DIV/0!</v>
      </c>
    </row>
    <row r="277" spans="1:13" s="2" customFormat="1" ht="15.75">
      <c r="A277" s="87"/>
      <c r="B277" s="84"/>
      <c r="C277" s="35" t="s">
        <v>22</v>
      </c>
      <c r="D277" s="45" t="s">
        <v>23</v>
      </c>
      <c r="E277" s="9">
        <v>18.8</v>
      </c>
      <c r="F277" s="9">
        <v>0</v>
      </c>
      <c r="G277" s="9">
        <v>0</v>
      </c>
      <c r="H277" s="9">
        <v>0</v>
      </c>
      <c r="I277" s="9">
        <f t="shared" si="19"/>
        <v>0</v>
      </c>
      <c r="J277" s="4"/>
      <c r="K277" s="4"/>
      <c r="L277" s="9">
        <f t="shared" si="20"/>
        <v>-18.8</v>
      </c>
      <c r="M277" s="9">
        <f t="shared" si="21"/>
        <v>0</v>
      </c>
    </row>
    <row r="278" spans="1:13" s="2" customFormat="1" ht="15.75" hidden="1">
      <c r="A278" s="87"/>
      <c r="B278" s="84"/>
      <c r="C278" s="35" t="s">
        <v>24</v>
      </c>
      <c r="D278" s="45" t="s">
        <v>25</v>
      </c>
      <c r="E278" s="4">
        <v>0</v>
      </c>
      <c r="F278" s="4">
        <v>0</v>
      </c>
      <c r="G278" s="4"/>
      <c r="H278" s="4">
        <v>0</v>
      </c>
      <c r="I278" s="9">
        <f t="shared" si="19"/>
        <v>0</v>
      </c>
      <c r="J278" s="4"/>
      <c r="K278" s="4"/>
      <c r="L278" s="7">
        <f t="shared" si="20"/>
        <v>0</v>
      </c>
      <c r="M278" s="7" t="e">
        <f t="shared" si="21"/>
        <v>#DIV/0!</v>
      </c>
    </row>
    <row r="279" spans="1:13" s="2" customFormat="1" ht="15.75">
      <c r="A279" s="87"/>
      <c r="B279" s="84"/>
      <c r="C279" s="35"/>
      <c r="D279" s="46" t="s">
        <v>37</v>
      </c>
      <c r="E279" s="7">
        <f>SUM(E277:E278)</f>
        <v>18.8</v>
      </c>
      <c r="F279" s="7">
        <f>SUM(F277:F278)</f>
        <v>0</v>
      </c>
      <c r="G279" s="7">
        <f>SUM(G277:G278)</f>
        <v>0</v>
      </c>
      <c r="H279" s="7">
        <f>SUM(H276:H278)</f>
        <v>0</v>
      </c>
      <c r="I279" s="7">
        <f t="shared" si="19"/>
        <v>0</v>
      </c>
      <c r="J279" s="4"/>
      <c r="K279" s="4"/>
      <c r="L279" s="7">
        <f t="shared" si="20"/>
        <v>-18.8</v>
      </c>
      <c r="M279" s="7">
        <f t="shared" si="21"/>
        <v>0</v>
      </c>
    </row>
    <row r="280" spans="1:13" s="2" customFormat="1" ht="15.75" hidden="1">
      <c r="A280" s="87"/>
      <c r="B280" s="84"/>
      <c r="C280" s="35" t="s">
        <v>20</v>
      </c>
      <c r="D280" s="45" t="s">
        <v>21</v>
      </c>
      <c r="E280" s="4">
        <v>0</v>
      </c>
      <c r="F280" s="4"/>
      <c r="G280" s="4"/>
      <c r="H280" s="4">
        <v>0</v>
      </c>
      <c r="I280" s="9">
        <f t="shared" si="19"/>
        <v>0</v>
      </c>
      <c r="J280" s="4"/>
      <c r="K280" s="4"/>
      <c r="L280" s="7">
        <f t="shared" si="20"/>
        <v>0</v>
      </c>
      <c r="M280" s="7" t="e">
        <f t="shared" si="21"/>
        <v>#DIV/0!</v>
      </c>
    </row>
    <row r="281" spans="1:13" s="2" customFormat="1" ht="15.75" hidden="1">
      <c r="A281" s="87"/>
      <c r="B281" s="84"/>
      <c r="C281" s="62"/>
      <c r="D281" s="46" t="s">
        <v>42</v>
      </c>
      <c r="E281" s="7">
        <f>SUM(E280)</f>
        <v>0</v>
      </c>
      <c r="F281" s="7">
        <f>SUM(F280)</f>
        <v>0</v>
      </c>
      <c r="G281" s="7">
        <f>SUM(G280)</f>
        <v>0</v>
      </c>
      <c r="H281" s="7">
        <f>SUM(H280)</f>
        <v>0</v>
      </c>
      <c r="I281" s="7">
        <f aca="true" t="shared" si="24" ref="I281:I318">H281-G281</f>
        <v>0</v>
      </c>
      <c r="J281" s="4"/>
      <c r="K281" s="4"/>
      <c r="L281" s="7">
        <f t="shared" si="20"/>
        <v>0</v>
      </c>
      <c r="M281" s="7" t="e">
        <f t="shared" si="21"/>
        <v>#DIV/0!</v>
      </c>
    </row>
    <row r="282" spans="1:13" s="2" customFormat="1" ht="15.75">
      <c r="A282" s="88"/>
      <c r="B282" s="85"/>
      <c r="C282" s="62"/>
      <c r="D282" s="46" t="s">
        <v>32</v>
      </c>
      <c r="E282" s="7">
        <f>E279+E281</f>
        <v>18.8</v>
      </c>
      <c r="F282" s="7">
        <f>F279+F281</f>
        <v>0</v>
      </c>
      <c r="G282" s="7">
        <f>G279+G281</f>
        <v>0</v>
      </c>
      <c r="H282" s="7">
        <f>H279+H281</f>
        <v>0</v>
      </c>
      <c r="I282" s="7">
        <f t="shared" si="24"/>
        <v>0</v>
      </c>
      <c r="J282" s="4"/>
      <c r="K282" s="4"/>
      <c r="L282" s="7">
        <f t="shared" si="20"/>
        <v>-18.8</v>
      </c>
      <c r="M282" s="7">
        <f t="shared" si="21"/>
        <v>0</v>
      </c>
    </row>
    <row r="283" spans="1:13" s="2" customFormat="1" ht="31.5">
      <c r="A283" s="82">
        <v>985</v>
      </c>
      <c r="B283" s="73" t="s">
        <v>115</v>
      </c>
      <c r="C283" s="35" t="s">
        <v>16</v>
      </c>
      <c r="D283" s="45" t="s">
        <v>17</v>
      </c>
      <c r="E283" s="4">
        <v>3.3</v>
      </c>
      <c r="F283" s="4">
        <v>0</v>
      </c>
      <c r="G283" s="4">
        <v>0</v>
      </c>
      <c r="H283" s="4">
        <v>35.1</v>
      </c>
      <c r="I283" s="4">
        <f t="shared" si="24"/>
        <v>35.1</v>
      </c>
      <c r="J283" s="4"/>
      <c r="K283" s="4"/>
      <c r="L283" s="9">
        <f t="shared" si="20"/>
        <v>31.8</v>
      </c>
      <c r="M283" s="9">
        <f t="shared" si="21"/>
        <v>1063.6363636363637</v>
      </c>
    </row>
    <row r="284" spans="1:13" s="2" customFormat="1" ht="15.75">
      <c r="A284" s="82"/>
      <c r="B284" s="73"/>
      <c r="C284" s="35" t="s">
        <v>20</v>
      </c>
      <c r="D284" s="45" t="s">
        <v>21</v>
      </c>
      <c r="E284" s="4">
        <v>3.5</v>
      </c>
      <c r="F284" s="4">
        <v>0</v>
      </c>
      <c r="G284" s="4">
        <v>0</v>
      </c>
      <c r="H284" s="4">
        <v>1</v>
      </c>
      <c r="I284" s="4">
        <f t="shared" si="24"/>
        <v>1</v>
      </c>
      <c r="J284" s="4"/>
      <c r="K284" s="4"/>
      <c r="L284" s="4">
        <f t="shared" si="20"/>
        <v>-2.5</v>
      </c>
      <c r="M284" s="4">
        <f t="shared" si="21"/>
        <v>28.57142857142857</v>
      </c>
    </row>
    <row r="285" spans="1:13" s="2" customFormat="1" ht="15.75">
      <c r="A285" s="82"/>
      <c r="B285" s="73"/>
      <c r="C285" s="35" t="s">
        <v>22</v>
      </c>
      <c r="D285" s="45" t="s">
        <v>23</v>
      </c>
      <c r="E285" s="4">
        <v>0</v>
      </c>
      <c r="F285" s="4">
        <v>0</v>
      </c>
      <c r="G285" s="4">
        <v>0</v>
      </c>
      <c r="H285" s="4">
        <v>10</v>
      </c>
      <c r="I285" s="4">
        <f t="shared" si="24"/>
        <v>10</v>
      </c>
      <c r="J285" s="4"/>
      <c r="K285" s="4"/>
      <c r="L285" s="4">
        <f t="shared" si="20"/>
        <v>10</v>
      </c>
      <c r="M285" s="4"/>
    </row>
    <row r="286" spans="1:13" s="2" customFormat="1" ht="15.75">
      <c r="A286" s="82"/>
      <c r="B286" s="73"/>
      <c r="C286" s="35" t="s">
        <v>28</v>
      </c>
      <c r="D286" s="45" t="s">
        <v>29</v>
      </c>
      <c r="E286" s="4">
        <v>100</v>
      </c>
      <c r="F286" s="4">
        <v>0</v>
      </c>
      <c r="G286" s="4">
        <v>0</v>
      </c>
      <c r="H286" s="4">
        <v>0</v>
      </c>
      <c r="I286" s="4">
        <f t="shared" si="24"/>
        <v>0</v>
      </c>
      <c r="J286" s="4"/>
      <c r="K286" s="4"/>
      <c r="L286" s="4">
        <f t="shared" si="20"/>
        <v>-100</v>
      </c>
      <c r="M286" s="4">
        <f t="shared" si="21"/>
        <v>0</v>
      </c>
    </row>
    <row r="287" spans="1:13" s="2" customFormat="1" ht="15.75">
      <c r="A287" s="82"/>
      <c r="B287" s="73"/>
      <c r="C287" s="37"/>
      <c r="D287" s="46" t="s">
        <v>32</v>
      </c>
      <c r="E287" s="7">
        <f>SUM(E283:E286)</f>
        <v>106.8</v>
      </c>
      <c r="F287" s="7">
        <f>SUM(F283:F286)</f>
        <v>0</v>
      </c>
      <c r="G287" s="7">
        <f>SUM(G283:G286)</f>
        <v>0</v>
      </c>
      <c r="H287" s="7">
        <f>SUM(H283:H286)</f>
        <v>46.1</v>
      </c>
      <c r="I287" s="7">
        <f t="shared" si="24"/>
        <v>46.1</v>
      </c>
      <c r="J287" s="4"/>
      <c r="K287" s="4"/>
      <c r="L287" s="7">
        <f t="shared" si="20"/>
        <v>-60.699999999999996</v>
      </c>
      <c r="M287" s="7">
        <f t="shared" si="21"/>
        <v>43.164794007490634</v>
      </c>
    </row>
    <row r="288" spans="1:13" s="2" customFormat="1" ht="110.25" hidden="1">
      <c r="A288" s="73" t="s">
        <v>116</v>
      </c>
      <c r="B288" s="73" t="s">
        <v>117</v>
      </c>
      <c r="C288" s="35" t="s">
        <v>63</v>
      </c>
      <c r="D288" s="45" t="s">
        <v>64</v>
      </c>
      <c r="E288" s="9">
        <v>0</v>
      </c>
      <c r="F288" s="9">
        <v>0</v>
      </c>
      <c r="G288" s="9">
        <v>0</v>
      </c>
      <c r="H288" s="4">
        <v>0</v>
      </c>
      <c r="I288" s="4">
        <f t="shared" si="24"/>
        <v>0</v>
      </c>
      <c r="J288" s="4" t="e">
        <f t="shared" si="22"/>
        <v>#DIV/0!</v>
      </c>
      <c r="K288" s="4" t="e">
        <f t="shared" si="23"/>
        <v>#DIV/0!</v>
      </c>
      <c r="L288" s="4">
        <f t="shared" si="20"/>
        <v>0</v>
      </c>
      <c r="M288" s="4" t="e">
        <f t="shared" si="21"/>
        <v>#DIV/0!</v>
      </c>
    </row>
    <row r="289" spans="1:13" s="2" customFormat="1" ht="94.5">
      <c r="A289" s="73"/>
      <c r="B289" s="73"/>
      <c r="C289" s="36" t="s">
        <v>14</v>
      </c>
      <c r="D289" s="45" t="s">
        <v>15</v>
      </c>
      <c r="E289" s="4">
        <v>40107</v>
      </c>
      <c r="F289" s="4">
        <v>59175.1</v>
      </c>
      <c r="G289" s="4">
        <v>38000</v>
      </c>
      <c r="H289" s="4">
        <v>36030.2</v>
      </c>
      <c r="I289" s="4">
        <f t="shared" si="24"/>
        <v>-1969.800000000003</v>
      </c>
      <c r="J289" s="4">
        <f t="shared" si="22"/>
        <v>94.81631578947368</v>
      </c>
      <c r="K289" s="4">
        <f t="shared" si="23"/>
        <v>60.887434072777225</v>
      </c>
      <c r="L289" s="4">
        <f t="shared" si="20"/>
        <v>-4076.800000000003</v>
      </c>
      <c r="M289" s="4">
        <f t="shared" si="21"/>
        <v>89.83519086443762</v>
      </c>
    </row>
    <row r="290" spans="1:13" s="2" customFormat="1" ht="31.5">
      <c r="A290" s="73"/>
      <c r="B290" s="73"/>
      <c r="C290" s="35" t="s">
        <v>16</v>
      </c>
      <c r="D290" s="45" t="s">
        <v>17</v>
      </c>
      <c r="E290" s="4">
        <v>252.3</v>
      </c>
      <c r="F290" s="4">
        <v>0</v>
      </c>
      <c r="G290" s="4">
        <v>0</v>
      </c>
      <c r="H290" s="4">
        <v>205.4</v>
      </c>
      <c r="I290" s="4">
        <f t="shared" si="24"/>
        <v>205.4</v>
      </c>
      <c r="J290" s="4"/>
      <c r="K290" s="4"/>
      <c r="L290" s="4">
        <f t="shared" si="20"/>
        <v>-46.900000000000006</v>
      </c>
      <c r="M290" s="4">
        <f t="shared" si="21"/>
        <v>81.41101862861673</v>
      </c>
    </row>
    <row r="291" spans="1:13" s="2" customFormat="1" ht="31.5">
      <c r="A291" s="73"/>
      <c r="B291" s="73"/>
      <c r="C291" s="35" t="s">
        <v>118</v>
      </c>
      <c r="D291" s="45" t="s">
        <v>119</v>
      </c>
      <c r="E291" s="4">
        <v>1086.8</v>
      </c>
      <c r="F291" s="4">
        <v>0</v>
      </c>
      <c r="G291" s="4">
        <v>0</v>
      </c>
      <c r="H291" s="4">
        <v>0</v>
      </c>
      <c r="I291" s="4">
        <f t="shared" si="24"/>
        <v>0</v>
      </c>
      <c r="J291" s="4"/>
      <c r="K291" s="4"/>
      <c r="L291" s="4">
        <f t="shared" si="20"/>
        <v>-1086.8</v>
      </c>
      <c r="M291" s="4">
        <f t="shared" si="21"/>
        <v>0</v>
      </c>
    </row>
    <row r="292" spans="1:13" s="2" customFormat="1" ht="15.75">
      <c r="A292" s="73"/>
      <c r="B292" s="73"/>
      <c r="C292" s="35" t="s">
        <v>20</v>
      </c>
      <c r="D292" s="45" t="s">
        <v>21</v>
      </c>
      <c r="E292" s="4">
        <v>443.1</v>
      </c>
      <c r="F292" s="4">
        <v>0</v>
      </c>
      <c r="G292" s="4">
        <v>0</v>
      </c>
      <c r="H292" s="4">
        <v>1312.5</v>
      </c>
      <c r="I292" s="4">
        <f t="shared" si="24"/>
        <v>1312.5</v>
      </c>
      <c r="J292" s="4"/>
      <c r="K292" s="4"/>
      <c r="L292" s="4">
        <f t="shared" si="20"/>
        <v>869.4</v>
      </c>
      <c r="M292" s="4">
        <f t="shared" si="21"/>
        <v>296.2085308056872</v>
      </c>
    </row>
    <row r="293" spans="1:13" s="2" customFormat="1" ht="15.75" hidden="1">
      <c r="A293" s="73"/>
      <c r="B293" s="73"/>
      <c r="C293" s="35" t="s">
        <v>22</v>
      </c>
      <c r="D293" s="45" t="s">
        <v>23</v>
      </c>
      <c r="E293" s="4">
        <v>0</v>
      </c>
      <c r="F293" s="4">
        <v>0</v>
      </c>
      <c r="G293" s="4">
        <v>0</v>
      </c>
      <c r="H293" s="4">
        <v>0</v>
      </c>
      <c r="I293" s="4">
        <f t="shared" si="24"/>
        <v>0</v>
      </c>
      <c r="J293" s="4" t="e">
        <f t="shared" si="22"/>
        <v>#DIV/0!</v>
      </c>
      <c r="K293" s="4" t="e">
        <f t="shared" si="23"/>
        <v>#DIV/0!</v>
      </c>
      <c r="L293" s="4">
        <f t="shared" si="20"/>
        <v>0</v>
      </c>
      <c r="M293" s="4" t="e">
        <f t="shared" si="21"/>
        <v>#DIV/0!</v>
      </c>
    </row>
    <row r="294" spans="1:15" s="2" customFormat="1" ht="31.5">
      <c r="A294" s="73"/>
      <c r="B294" s="73"/>
      <c r="C294" s="35" t="s">
        <v>26</v>
      </c>
      <c r="D294" s="45" t="s">
        <v>27</v>
      </c>
      <c r="E294" s="3">
        <v>606815</v>
      </c>
      <c r="F294" s="3">
        <f>1193349.8-10860.1</f>
        <v>1182489.7</v>
      </c>
      <c r="G294" s="3">
        <f>939335-4768.6-43333.8-132-13231.3+16510.7+98126.3+877.8</f>
        <v>993384.1</v>
      </c>
      <c r="H294" s="3">
        <v>826429.1</v>
      </c>
      <c r="I294" s="3">
        <f t="shared" si="24"/>
        <v>-166955</v>
      </c>
      <c r="J294" s="4">
        <f t="shared" si="22"/>
        <v>83.19330861043578</v>
      </c>
      <c r="K294" s="4">
        <f t="shared" si="23"/>
        <v>69.88890474056561</v>
      </c>
      <c r="L294" s="4">
        <f t="shared" si="20"/>
        <v>219614.09999999998</v>
      </c>
      <c r="M294" s="4">
        <f t="shared" si="21"/>
        <v>136.19127740744707</v>
      </c>
      <c r="O294" s="63"/>
    </row>
    <row r="295" spans="1:14" s="2" customFormat="1" ht="31.5">
      <c r="A295" s="73"/>
      <c r="B295" s="73"/>
      <c r="C295" s="35" t="s">
        <v>47</v>
      </c>
      <c r="D295" s="45" t="s">
        <v>48</v>
      </c>
      <c r="E295" s="4">
        <v>79428.5</v>
      </c>
      <c r="F295" s="4">
        <v>306698</v>
      </c>
      <c r="G295" s="4">
        <f>122907.8+1336.8+1336.8</f>
        <v>125581.40000000001</v>
      </c>
      <c r="H295" s="4">
        <v>125581.3</v>
      </c>
      <c r="I295" s="4">
        <f t="shared" si="24"/>
        <v>-0.10000000000582077</v>
      </c>
      <c r="J295" s="4">
        <f t="shared" si="22"/>
        <v>99.99992037037332</v>
      </c>
      <c r="K295" s="4">
        <f t="shared" si="23"/>
        <v>40.946240275450116</v>
      </c>
      <c r="L295" s="4">
        <f t="shared" si="20"/>
        <v>46152.8</v>
      </c>
      <c r="M295" s="4">
        <f t="shared" si="21"/>
        <v>158.10609541915056</v>
      </c>
      <c r="N295" s="63"/>
    </row>
    <row r="296" spans="1:13" s="2" customFormat="1" ht="15.75">
      <c r="A296" s="73"/>
      <c r="B296" s="73"/>
      <c r="C296" s="35" t="s">
        <v>28</v>
      </c>
      <c r="D296" s="45" t="s">
        <v>29</v>
      </c>
      <c r="E296" s="4">
        <v>21598.4</v>
      </c>
      <c r="F296" s="4">
        <v>472352.7</v>
      </c>
      <c r="G296" s="4">
        <f>394803.5+4310.9+2918.3+988.8</f>
        <v>403021.5</v>
      </c>
      <c r="H296" s="4">
        <v>403021.5</v>
      </c>
      <c r="I296" s="4">
        <f t="shared" si="24"/>
        <v>0</v>
      </c>
      <c r="J296" s="4">
        <f t="shared" si="22"/>
        <v>100</v>
      </c>
      <c r="K296" s="4">
        <f t="shared" si="23"/>
        <v>85.32215439860934</v>
      </c>
      <c r="L296" s="4">
        <f t="shared" si="20"/>
        <v>381423.1</v>
      </c>
      <c r="M296" s="4">
        <f t="shared" si="21"/>
        <v>1865.9784984072892</v>
      </c>
    </row>
    <row r="297" spans="1:13" s="2" customFormat="1" ht="47.25">
      <c r="A297" s="73"/>
      <c r="B297" s="73"/>
      <c r="C297" s="35" t="s">
        <v>30</v>
      </c>
      <c r="D297" s="45" t="s">
        <v>31</v>
      </c>
      <c r="E297" s="4">
        <v>-12342.5</v>
      </c>
      <c r="F297" s="4">
        <v>0</v>
      </c>
      <c r="G297" s="4">
        <v>0</v>
      </c>
      <c r="H297" s="4">
        <v>-55864.5</v>
      </c>
      <c r="I297" s="4">
        <f t="shared" si="24"/>
        <v>-55864.5</v>
      </c>
      <c r="J297" s="4"/>
      <c r="K297" s="4"/>
      <c r="L297" s="4">
        <f t="shared" si="20"/>
        <v>-43522</v>
      </c>
      <c r="M297" s="4">
        <f t="shared" si="21"/>
        <v>452.61899939234354</v>
      </c>
    </row>
    <row r="298" spans="1:13" s="2" customFormat="1" ht="15.75">
      <c r="A298" s="73"/>
      <c r="B298" s="73"/>
      <c r="C298" s="37"/>
      <c r="D298" s="46" t="s">
        <v>32</v>
      </c>
      <c r="E298" s="7">
        <f>SUM(E288:E297)</f>
        <v>737388.6</v>
      </c>
      <c r="F298" s="7">
        <f>SUM(F289:F297)</f>
        <v>2020715.5</v>
      </c>
      <c r="G298" s="7">
        <f>SUM(G289:G297)</f>
        <v>1559987</v>
      </c>
      <c r="H298" s="7">
        <f>SUM(H288:H297)</f>
        <v>1336715.5</v>
      </c>
      <c r="I298" s="7">
        <f t="shared" si="24"/>
        <v>-223271.5</v>
      </c>
      <c r="J298" s="7">
        <f t="shared" si="22"/>
        <v>85.68760508901677</v>
      </c>
      <c r="K298" s="7">
        <f t="shared" si="23"/>
        <v>66.15060358571012</v>
      </c>
      <c r="L298" s="7">
        <f t="shared" si="20"/>
        <v>599326.9</v>
      </c>
      <c r="M298" s="7">
        <f t="shared" si="21"/>
        <v>181.27694135765051</v>
      </c>
    </row>
    <row r="299" spans="1:13" ht="78.75">
      <c r="A299" s="73" t="s">
        <v>120</v>
      </c>
      <c r="B299" s="73" t="s">
        <v>121</v>
      </c>
      <c r="C299" s="36" t="s">
        <v>122</v>
      </c>
      <c r="D299" s="44" t="s">
        <v>123</v>
      </c>
      <c r="E299" s="3">
        <v>231744.6</v>
      </c>
      <c r="F299" s="3">
        <v>442688.4</v>
      </c>
      <c r="G299" s="3">
        <v>230184.9</v>
      </c>
      <c r="H299" s="3">
        <f>180598+61659.4</f>
        <v>242257.4</v>
      </c>
      <c r="I299" s="3">
        <f t="shared" si="24"/>
        <v>12072.5</v>
      </c>
      <c r="J299" s="4">
        <f t="shared" si="22"/>
        <v>105.24469676334111</v>
      </c>
      <c r="K299" s="4">
        <f t="shared" si="23"/>
        <v>54.72413553190009</v>
      </c>
      <c r="L299" s="4">
        <f t="shared" si="20"/>
        <v>10512.799999999988</v>
      </c>
      <c r="M299" s="4">
        <f t="shared" si="21"/>
        <v>104.53637323156613</v>
      </c>
    </row>
    <row r="300" spans="1:13" ht="31.5">
      <c r="A300" s="73"/>
      <c r="B300" s="73"/>
      <c r="C300" s="35" t="s">
        <v>124</v>
      </c>
      <c r="D300" s="44" t="s">
        <v>125</v>
      </c>
      <c r="E300" s="3">
        <v>-2061.6</v>
      </c>
      <c r="F300" s="3">
        <v>60296.9</v>
      </c>
      <c r="G300" s="3">
        <v>37400</v>
      </c>
      <c r="H300" s="3">
        <v>51397.5</v>
      </c>
      <c r="I300" s="3">
        <f t="shared" si="24"/>
        <v>13997.5</v>
      </c>
      <c r="J300" s="4">
        <f t="shared" si="22"/>
        <v>137.4264705882353</v>
      </c>
      <c r="K300" s="4">
        <f t="shared" si="23"/>
        <v>85.24070059986501</v>
      </c>
      <c r="L300" s="4">
        <f t="shared" si="20"/>
        <v>53459.1</v>
      </c>
      <c r="M300" s="4">
        <f t="shared" si="21"/>
        <v>-2493.0878928987195</v>
      </c>
    </row>
    <row r="301" spans="1:13" ht="141.75">
      <c r="A301" s="73"/>
      <c r="B301" s="73"/>
      <c r="C301" s="35" t="s">
        <v>86</v>
      </c>
      <c r="D301" s="44" t="s">
        <v>87</v>
      </c>
      <c r="E301" s="3">
        <v>1130</v>
      </c>
      <c r="F301" s="3">
        <v>1508.6</v>
      </c>
      <c r="G301" s="3">
        <v>702</v>
      </c>
      <c r="H301" s="3">
        <v>2325.7</v>
      </c>
      <c r="I301" s="3">
        <f t="shared" si="24"/>
        <v>1623.6999999999998</v>
      </c>
      <c r="J301" s="4">
        <f t="shared" si="22"/>
        <v>331.2962962962963</v>
      </c>
      <c r="K301" s="4">
        <f t="shared" si="23"/>
        <v>154.16279994697072</v>
      </c>
      <c r="L301" s="4">
        <f t="shared" si="20"/>
        <v>1195.6999999999998</v>
      </c>
      <c r="M301" s="4">
        <f t="shared" si="21"/>
        <v>205.81415929203536</v>
      </c>
    </row>
    <row r="302" spans="1:13" ht="110.25">
      <c r="A302" s="73"/>
      <c r="B302" s="73"/>
      <c r="C302" s="35" t="s">
        <v>63</v>
      </c>
      <c r="D302" s="49" t="s">
        <v>64</v>
      </c>
      <c r="E302" s="3">
        <v>569</v>
      </c>
      <c r="F302" s="3">
        <v>338.2</v>
      </c>
      <c r="G302" s="3">
        <v>280.6</v>
      </c>
      <c r="H302" s="3">
        <v>437.2</v>
      </c>
      <c r="I302" s="3">
        <f t="shared" si="24"/>
        <v>156.59999999999997</v>
      </c>
      <c r="J302" s="4">
        <f t="shared" si="22"/>
        <v>155.80898075552386</v>
      </c>
      <c r="K302" s="4">
        <f t="shared" si="23"/>
        <v>129.27261975162625</v>
      </c>
      <c r="L302" s="4">
        <f t="shared" si="20"/>
        <v>-131.8</v>
      </c>
      <c r="M302" s="4">
        <f t="shared" si="21"/>
        <v>76.8365553602812</v>
      </c>
    </row>
    <row r="303" spans="1:13" ht="31.5">
      <c r="A303" s="73"/>
      <c r="B303" s="73"/>
      <c r="C303" s="35" t="s">
        <v>16</v>
      </c>
      <c r="D303" s="45" t="s">
        <v>17</v>
      </c>
      <c r="E303" s="3">
        <v>101.3</v>
      </c>
      <c r="F303" s="3">
        <v>0</v>
      </c>
      <c r="G303" s="3">
        <v>0</v>
      </c>
      <c r="H303" s="3">
        <v>52</v>
      </c>
      <c r="I303" s="3">
        <f t="shared" si="24"/>
        <v>52</v>
      </c>
      <c r="J303" s="4"/>
      <c r="K303" s="4"/>
      <c r="L303" s="4">
        <f t="shared" si="20"/>
        <v>-49.3</v>
      </c>
      <c r="M303" s="4">
        <f t="shared" si="21"/>
        <v>51.332675222112535</v>
      </c>
    </row>
    <row r="304" spans="1:13" ht="63">
      <c r="A304" s="73"/>
      <c r="B304" s="73"/>
      <c r="C304" s="36" t="s">
        <v>126</v>
      </c>
      <c r="D304" s="44" t="s">
        <v>127</v>
      </c>
      <c r="E304" s="3">
        <v>56062.9</v>
      </c>
      <c r="F304" s="3">
        <v>110724.7</v>
      </c>
      <c r="G304" s="3">
        <v>65300</v>
      </c>
      <c r="H304" s="3">
        <v>35840.3</v>
      </c>
      <c r="I304" s="3">
        <f t="shared" si="24"/>
        <v>-29459.699999999997</v>
      </c>
      <c r="J304" s="4">
        <f t="shared" si="22"/>
        <v>54.88560490045942</v>
      </c>
      <c r="K304" s="4">
        <f t="shared" si="23"/>
        <v>32.36883911177904</v>
      </c>
      <c r="L304" s="4">
        <f t="shared" si="20"/>
        <v>-20222.6</v>
      </c>
      <c r="M304" s="4">
        <f t="shared" si="21"/>
        <v>63.92873005142439</v>
      </c>
    </row>
    <row r="305" spans="1:13" ht="63">
      <c r="A305" s="73"/>
      <c r="B305" s="73"/>
      <c r="C305" s="36" t="s">
        <v>128</v>
      </c>
      <c r="D305" s="44" t="s">
        <v>129</v>
      </c>
      <c r="E305" s="3">
        <v>2559.7</v>
      </c>
      <c r="F305" s="3">
        <v>0</v>
      </c>
      <c r="G305" s="3">
        <v>0</v>
      </c>
      <c r="H305" s="3">
        <v>123246.9</v>
      </c>
      <c r="I305" s="3">
        <f t="shared" si="24"/>
        <v>123246.9</v>
      </c>
      <c r="J305" s="4"/>
      <c r="K305" s="4"/>
      <c r="L305" s="4">
        <f t="shared" si="20"/>
        <v>120687.2</v>
      </c>
      <c r="M305" s="4">
        <f t="shared" si="21"/>
        <v>4814.89627690745</v>
      </c>
    </row>
    <row r="306" spans="1:13" ht="94.5">
      <c r="A306" s="73"/>
      <c r="B306" s="73"/>
      <c r="C306" s="36" t="s">
        <v>130</v>
      </c>
      <c r="D306" s="44" t="s">
        <v>131</v>
      </c>
      <c r="E306" s="3">
        <v>3990.9</v>
      </c>
      <c r="F306" s="3">
        <v>35860</v>
      </c>
      <c r="G306" s="3">
        <v>20300</v>
      </c>
      <c r="H306" s="3">
        <v>34500.2</v>
      </c>
      <c r="I306" s="3">
        <f t="shared" si="24"/>
        <v>14200.199999999997</v>
      </c>
      <c r="J306" s="4">
        <f t="shared" si="22"/>
        <v>169.95172413793102</v>
      </c>
      <c r="K306" s="4">
        <f t="shared" si="23"/>
        <v>96.2080312325711</v>
      </c>
      <c r="L306" s="4">
        <f t="shared" si="20"/>
        <v>30509.299999999996</v>
      </c>
      <c r="M306" s="4">
        <f t="shared" si="21"/>
        <v>864.4716730562028</v>
      </c>
    </row>
    <row r="307" spans="1:13" ht="15.75">
      <c r="A307" s="73"/>
      <c r="B307" s="73"/>
      <c r="C307" s="35" t="s">
        <v>20</v>
      </c>
      <c r="D307" s="45" t="s">
        <v>21</v>
      </c>
      <c r="E307" s="3">
        <v>26.9</v>
      </c>
      <c r="F307" s="3">
        <v>19246.1</v>
      </c>
      <c r="G307" s="3">
        <v>11074.6</v>
      </c>
      <c r="H307" s="3">
        <v>7620.3</v>
      </c>
      <c r="I307" s="3">
        <f t="shared" si="24"/>
        <v>-3454.3</v>
      </c>
      <c r="J307" s="4">
        <f t="shared" si="22"/>
        <v>68.80880573564734</v>
      </c>
      <c r="K307" s="4">
        <f t="shared" si="23"/>
        <v>39.59399566665455</v>
      </c>
      <c r="L307" s="4">
        <f t="shared" si="20"/>
        <v>7593.400000000001</v>
      </c>
      <c r="M307" s="4">
        <f t="shared" si="21"/>
        <v>28328.252788104088</v>
      </c>
    </row>
    <row r="308" spans="1:13" ht="15.75">
      <c r="A308" s="73"/>
      <c r="B308" s="73"/>
      <c r="C308" s="35" t="s">
        <v>22</v>
      </c>
      <c r="D308" s="45" t="s">
        <v>23</v>
      </c>
      <c r="E308" s="3">
        <v>-40.9</v>
      </c>
      <c r="F308" s="3">
        <v>0</v>
      </c>
      <c r="G308" s="3">
        <v>0</v>
      </c>
      <c r="H308" s="3">
        <v>0</v>
      </c>
      <c r="I308" s="3">
        <f t="shared" si="24"/>
        <v>0</v>
      </c>
      <c r="J308" s="4"/>
      <c r="K308" s="4"/>
      <c r="L308" s="4">
        <f t="shared" si="20"/>
        <v>40.9</v>
      </c>
      <c r="M308" s="4">
        <f t="shared" si="21"/>
        <v>0</v>
      </c>
    </row>
    <row r="309" spans="1:13" ht="15.75">
      <c r="A309" s="73"/>
      <c r="B309" s="73"/>
      <c r="C309" s="35" t="s">
        <v>24</v>
      </c>
      <c r="D309" s="45" t="s">
        <v>25</v>
      </c>
      <c r="E309" s="3">
        <v>0</v>
      </c>
      <c r="F309" s="3">
        <v>0</v>
      </c>
      <c r="G309" s="3">
        <v>0</v>
      </c>
      <c r="H309" s="3">
        <v>4876.9</v>
      </c>
      <c r="I309" s="3">
        <f t="shared" si="24"/>
        <v>4876.9</v>
      </c>
      <c r="J309" s="4"/>
      <c r="K309" s="4"/>
      <c r="L309" s="4">
        <f t="shared" si="20"/>
        <v>4876.9</v>
      </c>
      <c r="M309" s="4"/>
    </row>
    <row r="310" spans="1:13" ht="31.5">
      <c r="A310" s="73"/>
      <c r="B310" s="73"/>
      <c r="C310" s="35" t="s">
        <v>26</v>
      </c>
      <c r="D310" s="45" t="s">
        <v>27</v>
      </c>
      <c r="E310" s="3">
        <v>0</v>
      </c>
      <c r="F310" s="3">
        <v>212800</v>
      </c>
      <c r="G310" s="3">
        <v>0</v>
      </c>
      <c r="H310" s="3">
        <v>0</v>
      </c>
      <c r="I310" s="3">
        <f t="shared" si="24"/>
        <v>0</v>
      </c>
      <c r="J310" s="4"/>
      <c r="K310" s="4">
        <f t="shared" si="23"/>
        <v>0</v>
      </c>
      <c r="L310" s="4">
        <f t="shared" si="20"/>
        <v>0</v>
      </c>
      <c r="M310" s="4"/>
    </row>
    <row r="311" spans="1:13" ht="47.25" hidden="1">
      <c r="A311" s="73"/>
      <c r="B311" s="73"/>
      <c r="C311" s="35" t="s">
        <v>30</v>
      </c>
      <c r="D311" s="45" t="s">
        <v>31</v>
      </c>
      <c r="E311" s="3"/>
      <c r="F311" s="3">
        <v>0</v>
      </c>
      <c r="G311" s="3">
        <v>0</v>
      </c>
      <c r="H311" s="3">
        <v>0</v>
      </c>
      <c r="I311" s="3">
        <f t="shared" si="24"/>
        <v>0</v>
      </c>
      <c r="J311" s="4" t="e">
        <f t="shared" si="22"/>
        <v>#DIV/0!</v>
      </c>
      <c r="K311" s="4" t="e">
        <f t="shared" si="23"/>
        <v>#DIV/0!</v>
      </c>
      <c r="L311" s="4">
        <f t="shared" si="20"/>
        <v>0</v>
      </c>
      <c r="M311" s="4" t="e">
        <f t="shared" si="21"/>
        <v>#DIV/0!</v>
      </c>
    </row>
    <row r="312" spans="1:13" s="2" customFormat="1" ht="15.75">
      <c r="A312" s="73"/>
      <c r="B312" s="73"/>
      <c r="C312" s="62"/>
      <c r="D312" s="46" t="s">
        <v>37</v>
      </c>
      <c r="E312" s="7">
        <f>SUM(E299:E311)</f>
        <v>294082.80000000005</v>
      </c>
      <c r="F312" s="7">
        <f>SUM(F299:F311)</f>
        <v>883462.9</v>
      </c>
      <c r="G312" s="7">
        <f>SUM(G299:G311)</f>
        <v>365242.1</v>
      </c>
      <c r="H312" s="7">
        <f>SUM(H299:H311)</f>
        <v>502554.4</v>
      </c>
      <c r="I312" s="7">
        <f t="shared" si="24"/>
        <v>137312.30000000005</v>
      </c>
      <c r="J312" s="7">
        <f t="shared" si="22"/>
        <v>137.5948720040762</v>
      </c>
      <c r="K312" s="7">
        <f t="shared" si="23"/>
        <v>56.884607152150934</v>
      </c>
      <c r="L312" s="7">
        <f t="shared" si="20"/>
        <v>208471.59999999998</v>
      </c>
      <c r="M312" s="7">
        <f t="shared" si="21"/>
        <v>170.88874289825858</v>
      </c>
    </row>
    <row r="313" spans="1:13" ht="15.75">
      <c r="A313" s="73"/>
      <c r="B313" s="73"/>
      <c r="C313" s="35" t="s">
        <v>132</v>
      </c>
      <c r="D313" s="45" t="s">
        <v>133</v>
      </c>
      <c r="E313" s="3">
        <v>116209.7</v>
      </c>
      <c r="F313" s="3">
        <v>875301.5</v>
      </c>
      <c r="G313" s="3">
        <v>75391</v>
      </c>
      <c r="H313" s="3">
        <v>63920.6</v>
      </c>
      <c r="I313" s="3">
        <f t="shared" si="24"/>
        <v>-11470.400000000001</v>
      </c>
      <c r="J313" s="4">
        <f t="shared" si="22"/>
        <v>84.78545184438461</v>
      </c>
      <c r="K313" s="4">
        <f t="shared" si="23"/>
        <v>7.302695128478587</v>
      </c>
      <c r="L313" s="4">
        <f t="shared" si="20"/>
        <v>-52289.1</v>
      </c>
      <c r="M313" s="4">
        <f t="shared" si="21"/>
        <v>55.004530602867064</v>
      </c>
    </row>
    <row r="314" spans="1:13" ht="15.75">
      <c r="A314" s="73"/>
      <c r="B314" s="73"/>
      <c r="C314" s="35" t="s">
        <v>134</v>
      </c>
      <c r="D314" s="45" t="s">
        <v>135</v>
      </c>
      <c r="E314" s="3">
        <v>1671255.1</v>
      </c>
      <c r="F314" s="3">
        <v>2634753.2</v>
      </c>
      <c r="G314" s="3">
        <v>1731657</v>
      </c>
      <c r="H314" s="3">
        <v>1662748.7</v>
      </c>
      <c r="I314" s="3">
        <f t="shared" si="24"/>
        <v>-68908.30000000005</v>
      </c>
      <c r="J314" s="4">
        <f t="shared" si="22"/>
        <v>96.02067268517956</v>
      </c>
      <c r="K314" s="4">
        <f t="shared" si="23"/>
        <v>63.10832832464156</v>
      </c>
      <c r="L314" s="4">
        <f t="shared" si="20"/>
        <v>-8506.40000000014</v>
      </c>
      <c r="M314" s="4">
        <f t="shared" si="21"/>
        <v>99.49101726002212</v>
      </c>
    </row>
    <row r="315" spans="1:13" ht="31.5" hidden="1">
      <c r="A315" s="73"/>
      <c r="B315" s="73"/>
      <c r="C315" s="35" t="s">
        <v>40</v>
      </c>
      <c r="D315" s="45" t="s">
        <v>41</v>
      </c>
      <c r="E315" s="4"/>
      <c r="F315" s="3"/>
      <c r="G315" s="3"/>
      <c r="H315" s="3">
        <v>0</v>
      </c>
      <c r="I315" s="3">
        <f t="shared" si="24"/>
        <v>0</v>
      </c>
      <c r="J315" s="4"/>
      <c r="K315" s="4"/>
      <c r="L315" s="4">
        <f t="shared" si="20"/>
        <v>0</v>
      </c>
      <c r="M315" s="4"/>
    </row>
    <row r="316" spans="1:13" ht="15.75">
      <c r="A316" s="73"/>
      <c r="B316" s="73"/>
      <c r="C316" s="35" t="s">
        <v>20</v>
      </c>
      <c r="D316" s="45" t="s">
        <v>21</v>
      </c>
      <c r="E316" s="3">
        <v>2557.6</v>
      </c>
      <c r="F316" s="3">
        <v>0</v>
      </c>
      <c r="G316" s="3">
        <v>0</v>
      </c>
      <c r="H316" s="3">
        <v>0</v>
      </c>
      <c r="I316" s="3">
        <f t="shared" si="24"/>
        <v>0</v>
      </c>
      <c r="J316" s="4"/>
      <c r="K316" s="4"/>
      <c r="L316" s="4">
        <f t="shared" si="20"/>
        <v>-2557.6</v>
      </c>
      <c r="M316" s="4">
        <f t="shared" si="21"/>
        <v>0</v>
      </c>
    </row>
    <row r="317" spans="1:13" s="2" customFormat="1" ht="15.75">
      <c r="A317" s="73"/>
      <c r="B317" s="73"/>
      <c r="C317" s="62"/>
      <c r="D317" s="46" t="s">
        <v>42</v>
      </c>
      <c r="E317" s="7">
        <f>SUM(E313:E316)</f>
        <v>1790022.4000000001</v>
      </c>
      <c r="F317" s="7">
        <f>SUM(F313:F316)</f>
        <v>3510054.7</v>
      </c>
      <c r="G317" s="7">
        <f>SUM(G313:G316)</f>
        <v>1807048</v>
      </c>
      <c r="H317" s="7">
        <f>SUM(H313:H316)</f>
        <v>1726669.3</v>
      </c>
      <c r="I317" s="7">
        <f t="shared" si="24"/>
        <v>-80378.69999999995</v>
      </c>
      <c r="J317" s="7">
        <f t="shared" si="22"/>
        <v>95.55193331887143</v>
      </c>
      <c r="K317" s="7">
        <f t="shared" si="23"/>
        <v>49.192090938069995</v>
      </c>
      <c r="L317" s="7">
        <f t="shared" si="20"/>
        <v>-63353.10000000009</v>
      </c>
      <c r="M317" s="7">
        <f t="shared" si="21"/>
        <v>96.46076496025971</v>
      </c>
    </row>
    <row r="318" spans="1:13" s="2" customFormat="1" ht="15.75">
      <c r="A318" s="73"/>
      <c r="B318" s="73"/>
      <c r="C318" s="62"/>
      <c r="D318" s="46" t="s">
        <v>32</v>
      </c>
      <c r="E318" s="7">
        <f>E312+E317</f>
        <v>2084105.2000000002</v>
      </c>
      <c r="F318" s="7">
        <f>F312+F317</f>
        <v>4393517.600000001</v>
      </c>
      <c r="G318" s="7">
        <f>G312+G317</f>
        <v>2172290.1</v>
      </c>
      <c r="H318" s="7">
        <f>H312+H317</f>
        <v>2229223.7</v>
      </c>
      <c r="I318" s="7">
        <f t="shared" si="24"/>
        <v>56933.60000000009</v>
      </c>
      <c r="J318" s="7">
        <f t="shared" si="22"/>
        <v>102.62090224505467</v>
      </c>
      <c r="K318" s="7">
        <f t="shared" si="23"/>
        <v>50.738927277769406</v>
      </c>
      <c r="L318" s="7">
        <f t="shared" si="20"/>
        <v>145118.5</v>
      </c>
      <c r="M318" s="7">
        <f t="shared" si="21"/>
        <v>106.96310819626571</v>
      </c>
    </row>
    <row r="319" spans="1:13" s="2" customFormat="1" ht="33.75" customHeight="1">
      <c r="A319" s="80"/>
      <c r="B319" s="80"/>
      <c r="C319" s="74"/>
      <c r="D319" s="46" t="s">
        <v>136</v>
      </c>
      <c r="E319" s="7">
        <f>E328+E339</f>
        <v>9913686.0265625</v>
      </c>
      <c r="F319" s="7">
        <f>F328+F339</f>
        <v>20924553.800000004</v>
      </c>
      <c r="G319" s="7">
        <f>G328+G339</f>
        <v>11758106.999999998</v>
      </c>
      <c r="H319" s="7">
        <f>H328+H339</f>
        <v>10210798.100000001</v>
      </c>
      <c r="I319" s="6">
        <f>H319-G319</f>
        <v>-1547308.8999999966</v>
      </c>
      <c r="J319" s="7">
        <f t="shared" si="22"/>
        <v>86.84049311679169</v>
      </c>
      <c r="K319" s="7">
        <f t="shared" si="23"/>
        <v>48.79816409753024</v>
      </c>
      <c r="L319" s="7">
        <f t="shared" si="20"/>
        <v>297112.07343750075</v>
      </c>
      <c r="M319" s="7">
        <f t="shared" si="21"/>
        <v>102.99698893672269</v>
      </c>
    </row>
    <row r="320" spans="1:15" s="68" customFormat="1" ht="20.25" customHeight="1">
      <c r="A320" s="80"/>
      <c r="B320" s="80"/>
      <c r="C320" s="74"/>
      <c r="D320" s="67" t="s">
        <v>137</v>
      </c>
      <c r="E320" s="6">
        <f>E18+E30+E39+E44+E60+E71+E84+E90+E100+E108+E116+E123+E130+E137+E143+E158+E166+E186+E201+E222+E235+E249+E258+E271+E275+E282+E287+E298+E318</f>
        <v>16610497.5265625</v>
      </c>
      <c r="F320" s="6">
        <f>F18+F30+F39+F44+F60+F71+F84+F90+F100+F108+F116+F123+F130+F137+F143+F158+F166+F186+F201+F222+F235+F249+F258+F271+F275+F282+F287+F298+F318+F206</f>
        <v>42076652</v>
      </c>
      <c r="G320" s="6">
        <f>G18+G30+G39+G44+G60+G71+G84+G90+G100+G108+G116+G123+G130+G137+G143+G158+G166+G186+G201+G222+G235+G249+G258+G271+G275+G282+G287+G298+G318+G206</f>
        <v>21893697.099999998</v>
      </c>
      <c r="H320" s="6">
        <f>H18+H30+H39+H44+H60+H71+H84+H90+H100+H108+H116+H123+H130+H137+H143+H158+H166+H186+H201+H222+H235+H249+H258+H271+H275+H282+H287+H298+H318+H206</f>
        <v>20081693.4</v>
      </c>
      <c r="I320" s="6">
        <f>H320-G320</f>
        <v>-1812003.6999999993</v>
      </c>
      <c r="J320" s="6">
        <f t="shared" si="22"/>
        <v>91.7236285323414</v>
      </c>
      <c r="K320" s="6">
        <f t="shared" si="23"/>
        <v>47.72645266548298</v>
      </c>
      <c r="L320" s="6">
        <f t="shared" si="20"/>
        <v>3471195.8734374978</v>
      </c>
      <c r="M320" s="6">
        <f t="shared" si="21"/>
        <v>120.89760326496284</v>
      </c>
      <c r="N320" s="69"/>
      <c r="O320" s="70"/>
    </row>
    <row r="321" spans="1:13" ht="15.75">
      <c r="A321" s="27"/>
      <c r="B321" s="27"/>
      <c r="C321" s="39"/>
      <c r="D321" s="50"/>
      <c r="E321" s="11"/>
      <c r="F321" s="11"/>
      <c r="G321" s="11"/>
      <c r="H321" s="11"/>
      <c r="I321" s="19"/>
      <c r="J321" s="11"/>
      <c r="K321" s="20"/>
      <c r="L321" s="20"/>
      <c r="M321" s="20"/>
    </row>
    <row r="322" spans="1:13" ht="15.75">
      <c r="A322" s="27"/>
      <c r="B322" s="27"/>
      <c r="C322" s="39"/>
      <c r="D322" s="51" t="s">
        <v>138</v>
      </c>
      <c r="E322" s="11"/>
      <c r="F322" s="11"/>
      <c r="G322" s="11"/>
      <c r="H322" s="11"/>
      <c r="I322" s="19"/>
      <c r="J322" s="11"/>
      <c r="K322" s="20"/>
      <c r="L322" s="20"/>
      <c r="M322" s="20"/>
    </row>
    <row r="323" spans="1:13" ht="15.75" hidden="1">
      <c r="A323" s="27"/>
      <c r="B323" s="27"/>
      <c r="C323" s="39"/>
      <c r="D323" s="52"/>
      <c r="E323" s="12">
        <f>E320-E370</f>
        <v>0</v>
      </c>
      <c r="F323" s="12">
        <f>F320-F370</f>
        <v>0</v>
      </c>
      <c r="G323" s="12">
        <f aca="true" t="shared" si="25" ref="G323:M323">G320-G370</f>
        <v>0</v>
      </c>
      <c r="H323" s="12">
        <f t="shared" si="25"/>
        <v>0</v>
      </c>
      <c r="I323" s="12">
        <f t="shared" si="25"/>
        <v>0</v>
      </c>
      <c r="J323" s="12">
        <f t="shared" si="25"/>
        <v>0</v>
      </c>
      <c r="K323" s="12">
        <f t="shared" si="25"/>
        <v>0</v>
      </c>
      <c r="L323" s="12">
        <f t="shared" si="25"/>
        <v>0</v>
      </c>
      <c r="M323" s="12">
        <f t="shared" si="25"/>
        <v>0</v>
      </c>
    </row>
    <row r="324" spans="1:13" ht="15.75" hidden="1">
      <c r="A324" s="75" t="s">
        <v>148</v>
      </c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</row>
    <row r="325" spans="1:13" ht="15.75">
      <c r="A325" s="28"/>
      <c r="B325" s="13"/>
      <c r="C325" s="40"/>
      <c r="D325" s="53"/>
      <c r="E325" s="13"/>
      <c r="F325" s="13"/>
      <c r="G325" s="13"/>
      <c r="H325" s="21"/>
      <c r="I325" s="21"/>
      <c r="J325" s="21"/>
      <c r="M325" s="18" t="s">
        <v>1</v>
      </c>
    </row>
    <row r="326" spans="1:13" ht="39" customHeight="1">
      <c r="A326" s="76" t="s">
        <v>2</v>
      </c>
      <c r="B326" s="77" t="s">
        <v>3</v>
      </c>
      <c r="C326" s="77" t="s">
        <v>4</v>
      </c>
      <c r="D326" s="77" t="s">
        <v>5</v>
      </c>
      <c r="E326" s="78" t="s">
        <v>152</v>
      </c>
      <c r="F326" s="79" t="s">
        <v>146</v>
      </c>
      <c r="G326" s="81" t="s">
        <v>149</v>
      </c>
      <c r="H326" s="72" t="s">
        <v>153</v>
      </c>
      <c r="I326" s="72" t="s">
        <v>150</v>
      </c>
      <c r="J326" s="72" t="s">
        <v>154</v>
      </c>
      <c r="K326" s="72" t="s">
        <v>155</v>
      </c>
      <c r="L326" s="72" t="s">
        <v>156</v>
      </c>
      <c r="M326" s="72" t="s">
        <v>147</v>
      </c>
    </row>
    <row r="327" spans="1:13" ht="74.25" customHeight="1">
      <c r="A327" s="76"/>
      <c r="B327" s="77"/>
      <c r="C327" s="77"/>
      <c r="D327" s="77"/>
      <c r="E327" s="78"/>
      <c r="F327" s="79"/>
      <c r="G327" s="81"/>
      <c r="H327" s="72"/>
      <c r="I327" s="72"/>
      <c r="J327" s="72"/>
      <c r="K327" s="72"/>
      <c r="L327" s="72"/>
      <c r="M327" s="72"/>
    </row>
    <row r="328" spans="1:13" s="68" customFormat="1" ht="20.25" customHeight="1">
      <c r="A328" s="73"/>
      <c r="B328" s="73"/>
      <c r="C328" s="71"/>
      <c r="D328" s="67" t="s">
        <v>139</v>
      </c>
      <c r="E328" s="14">
        <f>SUM(E329:E338)</f>
        <v>8484697.7265625</v>
      </c>
      <c r="F328" s="14">
        <f>SUM(F329:F338)</f>
        <v>15690731.400000002</v>
      </c>
      <c r="G328" s="14">
        <f>SUM(G329:G338)</f>
        <v>8831853.999999998</v>
      </c>
      <c r="H328" s="14">
        <f>SUM(H329:H338)</f>
        <v>8182142.300000001</v>
      </c>
      <c r="I328" s="14">
        <f aca="true" t="shared" si="26" ref="I328:I370">H328-G328</f>
        <v>-649711.6999999974</v>
      </c>
      <c r="J328" s="14">
        <f aca="true" t="shared" si="27" ref="J328:J337">H328/G328*100</f>
        <v>92.64354120890135</v>
      </c>
      <c r="K328" s="14">
        <f aca="true" t="shared" si="28" ref="K328:K337">H328/F328*100</f>
        <v>52.14634099210952</v>
      </c>
      <c r="L328" s="14">
        <f aca="true" t="shared" si="29" ref="L328:L370">H328-E328</f>
        <v>-302555.42656249925</v>
      </c>
      <c r="M328" s="14">
        <f aca="true" t="shared" si="30" ref="M328:M337">H328/E328*100</f>
        <v>96.43410482832749</v>
      </c>
    </row>
    <row r="329" spans="1:13" ht="20.25" customHeight="1">
      <c r="A329" s="73"/>
      <c r="B329" s="73"/>
      <c r="C329" s="35" t="s">
        <v>97</v>
      </c>
      <c r="D329" s="45" t="s">
        <v>98</v>
      </c>
      <c r="E329" s="15">
        <f aca="true" t="shared" si="31" ref="E329:H338">SUMIF($C$6:$C$320,$C329,E$6:E$320)</f>
        <v>5629778.326562501</v>
      </c>
      <c r="F329" s="15">
        <f t="shared" si="31"/>
        <v>10127809.8</v>
      </c>
      <c r="G329" s="15">
        <f t="shared" si="31"/>
        <v>6204628.8</v>
      </c>
      <c r="H329" s="15">
        <f t="shared" si="31"/>
        <v>5668642.8</v>
      </c>
      <c r="I329" s="15">
        <f t="shared" si="26"/>
        <v>-535986</v>
      </c>
      <c r="J329" s="15">
        <f t="shared" si="27"/>
        <v>91.36151384269758</v>
      </c>
      <c r="K329" s="15">
        <f t="shared" si="28"/>
        <v>55.97106296368243</v>
      </c>
      <c r="L329" s="15">
        <f t="shared" si="29"/>
        <v>38864.473437499255</v>
      </c>
      <c r="M329" s="15">
        <f t="shared" si="30"/>
        <v>100.6903375440935</v>
      </c>
    </row>
    <row r="330" spans="1:13" ht="34.5" customHeight="1">
      <c r="A330" s="73"/>
      <c r="B330" s="73"/>
      <c r="C330" s="35" t="s">
        <v>88</v>
      </c>
      <c r="D330" s="45" t="s">
        <v>89</v>
      </c>
      <c r="E330" s="15">
        <f t="shared" si="31"/>
        <v>36941.7</v>
      </c>
      <c r="F330" s="15">
        <f t="shared" si="31"/>
        <v>52584.9</v>
      </c>
      <c r="G330" s="15">
        <f t="shared" si="31"/>
        <v>34063.3</v>
      </c>
      <c r="H330" s="15">
        <f t="shared" si="31"/>
        <v>34301.8</v>
      </c>
      <c r="I330" s="15">
        <f t="shared" si="26"/>
        <v>238.5</v>
      </c>
      <c r="J330" s="15">
        <f t="shared" si="27"/>
        <v>100.70016704194838</v>
      </c>
      <c r="K330" s="15">
        <f t="shared" si="28"/>
        <v>65.23127361657053</v>
      </c>
      <c r="L330" s="15">
        <f t="shared" si="29"/>
        <v>-2639.899999999994</v>
      </c>
      <c r="M330" s="15">
        <f t="shared" si="30"/>
        <v>92.8538751600495</v>
      </c>
    </row>
    <row r="331" spans="1:13" ht="33" customHeight="1">
      <c r="A331" s="73"/>
      <c r="B331" s="73"/>
      <c r="C331" s="35" t="s">
        <v>99</v>
      </c>
      <c r="D331" s="45" t="s">
        <v>100</v>
      </c>
      <c r="E331" s="15">
        <f t="shared" si="31"/>
        <v>345162.8</v>
      </c>
      <c r="F331" s="15">
        <f t="shared" si="31"/>
        <v>104490.3</v>
      </c>
      <c r="G331" s="15">
        <f t="shared" si="31"/>
        <v>104490.3</v>
      </c>
      <c r="H331" s="15">
        <f t="shared" si="31"/>
        <v>107667.7</v>
      </c>
      <c r="I331" s="15">
        <f t="shared" si="26"/>
        <v>3177.399999999994</v>
      </c>
      <c r="J331" s="15">
        <f t="shared" si="27"/>
        <v>103.0408564239934</v>
      </c>
      <c r="K331" s="15">
        <f t="shared" si="28"/>
        <v>103.0408564239934</v>
      </c>
      <c r="L331" s="15">
        <f t="shared" si="29"/>
        <v>-237495.09999999998</v>
      </c>
      <c r="M331" s="15">
        <f t="shared" si="30"/>
        <v>31.193309360104855</v>
      </c>
    </row>
    <row r="332" spans="1:13" ht="18.75" customHeight="1">
      <c r="A332" s="73"/>
      <c r="B332" s="73"/>
      <c r="C332" s="35" t="s">
        <v>101</v>
      </c>
      <c r="D332" s="45" t="s">
        <v>102</v>
      </c>
      <c r="E332" s="15">
        <f t="shared" si="31"/>
        <v>798.7</v>
      </c>
      <c r="F332" s="15">
        <f t="shared" si="31"/>
        <v>720.4</v>
      </c>
      <c r="G332" s="15">
        <f t="shared" si="31"/>
        <v>683.3</v>
      </c>
      <c r="H332" s="15">
        <f t="shared" si="31"/>
        <v>1046.4</v>
      </c>
      <c r="I332" s="15">
        <f t="shared" si="26"/>
        <v>363.10000000000014</v>
      </c>
      <c r="J332" s="15">
        <f t="shared" si="27"/>
        <v>153.1391775208547</v>
      </c>
      <c r="K332" s="15">
        <f t="shared" si="28"/>
        <v>145.25263742365354</v>
      </c>
      <c r="L332" s="15">
        <f t="shared" si="29"/>
        <v>247.70000000000005</v>
      </c>
      <c r="M332" s="15">
        <f t="shared" si="30"/>
        <v>131.01289595592837</v>
      </c>
    </row>
    <row r="333" spans="1:13" ht="33.75" customHeight="1">
      <c r="A333" s="73"/>
      <c r="B333" s="73"/>
      <c r="C333" s="35" t="s">
        <v>103</v>
      </c>
      <c r="D333" s="45" t="s">
        <v>104</v>
      </c>
      <c r="E333" s="15">
        <f t="shared" si="31"/>
        <v>33587.8</v>
      </c>
      <c r="F333" s="15">
        <f t="shared" si="31"/>
        <v>185312.5</v>
      </c>
      <c r="G333" s="15">
        <f t="shared" si="31"/>
        <v>103585.3</v>
      </c>
      <c r="H333" s="15">
        <f t="shared" si="31"/>
        <v>82969.2</v>
      </c>
      <c r="I333" s="15">
        <f t="shared" si="26"/>
        <v>-20616.100000000006</v>
      </c>
      <c r="J333" s="15">
        <f t="shared" si="27"/>
        <v>80.09746556702542</v>
      </c>
      <c r="K333" s="15">
        <f t="shared" si="28"/>
        <v>44.772586846543</v>
      </c>
      <c r="L333" s="15">
        <f t="shared" si="29"/>
        <v>49381.399999999994</v>
      </c>
      <c r="M333" s="15">
        <f t="shared" si="30"/>
        <v>247.02183530924918</v>
      </c>
    </row>
    <row r="334" spans="1:13" ht="18.75" customHeight="1">
      <c r="A334" s="73"/>
      <c r="B334" s="73"/>
      <c r="C334" s="35" t="s">
        <v>132</v>
      </c>
      <c r="D334" s="45" t="s">
        <v>133</v>
      </c>
      <c r="E334" s="15">
        <f t="shared" si="31"/>
        <v>116209.7</v>
      </c>
      <c r="F334" s="15">
        <f t="shared" si="31"/>
        <v>875301.5</v>
      </c>
      <c r="G334" s="15">
        <f t="shared" si="31"/>
        <v>75391</v>
      </c>
      <c r="H334" s="15">
        <f t="shared" si="31"/>
        <v>63920.6</v>
      </c>
      <c r="I334" s="15">
        <f t="shared" si="26"/>
        <v>-11470.400000000001</v>
      </c>
      <c r="J334" s="15">
        <f t="shared" si="27"/>
        <v>84.78545184438461</v>
      </c>
      <c r="K334" s="15">
        <f t="shared" si="28"/>
        <v>7.302695128478587</v>
      </c>
      <c r="L334" s="15">
        <f t="shared" si="29"/>
        <v>-52289.1</v>
      </c>
      <c r="M334" s="15">
        <f t="shared" si="30"/>
        <v>55.004530602867064</v>
      </c>
    </row>
    <row r="335" spans="1:13" ht="18.75" customHeight="1">
      <c r="A335" s="73"/>
      <c r="B335" s="73"/>
      <c r="C335" s="35" t="s">
        <v>93</v>
      </c>
      <c r="D335" s="45" t="s">
        <v>94</v>
      </c>
      <c r="E335" s="15">
        <f t="shared" si="31"/>
        <v>517109.4</v>
      </c>
      <c r="F335" s="15">
        <f t="shared" si="31"/>
        <v>1510697.3</v>
      </c>
      <c r="G335" s="15">
        <f t="shared" si="31"/>
        <v>447990.9</v>
      </c>
      <c r="H335" s="15">
        <f t="shared" si="31"/>
        <v>423489.4</v>
      </c>
      <c r="I335" s="15">
        <f t="shared" si="26"/>
        <v>-24501.5</v>
      </c>
      <c r="J335" s="15">
        <f t="shared" si="27"/>
        <v>94.53080408552943</v>
      </c>
      <c r="K335" s="15">
        <f t="shared" si="28"/>
        <v>28.032710457614506</v>
      </c>
      <c r="L335" s="15">
        <f t="shared" si="29"/>
        <v>-93620</v>
      </c>
      <c r="M335" s="15">
        <f t="shared" si="30"/>
        <v>81.89551379263266</v>
      </c>
    </row>
    <row r="336" spans="1:13" ht="18.75" customHeight="1">
      <c r="A336" s="73"/>
      <c r="B336" s="73"/>
      <c r="C336" s="35" t="s">
        <v>134</v>
      </c>
      <c r="D336" s="45" t="s">
        <v>135</v>
      </c>
      <c r="E336" s="15">
        <f t="shared" si="31"/>
        <v>1671255.1</v>
      </c>
      <c r="F336" s="15">
        <f t="shared" si="31"/>
        <v>2634753.2</v>
      </c>
      <c r="G336" s="15">
        <f t="shared" si="31"/>
        <v>1731657</v>
      </c>
      <c r="H336" s="15">
        <f t="shared" si="31"/>
        <v>1662748.7</v>
      </c>
      <c r="I336" s="15">
        <f t="shared" si="26"/>
        <v>-68908.30000000005</v>
      </c>
      <c r="J336" s="15">
        <f t="shared" si="27"/>
        <v>96.02067268517956</v>
      </c>
      <c r="K336" s="15">
        <f t="shared" si="28"/>
        <v>63.10832832464156</v>
      </c>
      <c r="L336" s="15">
        <f t="shared" si="29"/>
        <v>-8506.40000000014</v>
      </c>
      <c r="M336" s="15">
        <f t="shared" si="30"/>
        <v>99.49101726002212</v>
      </c>
    </row>
    <row r="337" spans="1:13" ht="18.75" customHeight="1">
      <c r="A337" s="73"/>
      <c r="B337" s="73"/>
      <c r="C337" s="35" t="s">
        <v>38</v>
      </c>
      <c r="D337" s="45" t="s">
        <v>39</v>
      </c>
      <c r="E337" s="15">
        <f t="shared" si="31"/>
        <v>133854.2</v>
      </c>
      <c r="F337" s="15">
        <f t="shared" si="31"/>
        <v>199061.5</v>
      </c>
      <c r="G337" s="15">
        <f t="shared" si="31"/>
        <v>129364.1</v>
      </c>
      <c r="H337" s="15">
        <f t="shared" si="31"/>
        <v>137355.80000000002</v>
      </c>
      <c r="I337" s="15">
        <f t="shared" si="26"/>
        <v>7991.700000000012</v>
      </c>
      <c r="J337" s="15">
        <f t="shared" si="27"/>
        <v>106.17767989728218</v>
      </c>
      <c r="K337" s="15">
        <f t="shared" si="28"/>
        <v>69.00169043235383</v>
      </c>
      <c r="L337" s="15">
        <f t="shared" si="29"/>
        <v>3501.600000000006</v>
      </c>
      <c r="M337" s="15">
        <f t="shared" si="30"/>
        <v>102.61598067150676</v>
      </c>
    </row>
    <row r="338" spans="1:13" ht="33" customHeight="1">
      <c r="A338" s="73"/>
      <c r="B338" s="73"/>
      <c r="C338" s="35" t="s">
        <v>40</v>
      </c>
      <c r="D338" s="45" t="s">
        <v>41</v>
      </c>
      <c r="E338" s="15">
        <f t="shared" si="31"/>
        <v>0</v>
      </c>
      <c r="F338" s="15">
        <f t="shared" si="31"/>
        <v>0</v>
      </c>
      <c r="G338" s="15">
        <f t="shared" si="31"/>
        <v>0</v>
      </c>
      <c r="H338" s="15">
        <f t="shared" si="31"/>
        <v>-0.1</v>
      </c>
      <c r="I338" s="15">
        <f t="shared" si="26"/>
        <v>-0.1</v>
      </c>
      <c r="J338" s="15"/>
      <c r="K338" s="15"/>
      <c r="L338" s="15">
        <f t="shared" si="29"/>
        <v>-0.1</v>
      </c>
      <c r="M338" s="15"/>
    </row>
    <row r="339" spans="1:14" s="68" customFormat="1" ht="20.25" customHeight="1">
      <c r="A339" s="73"/>
      <c r="B339" s="73"/>
      <c r="C339" s="71"/>
      <c r="D339" s="67" t="s">
        <v>140</v>
      </c>
      <c r="E339" s="14">
        <f>SUM(E340:E360)</f>
        <v>1428988.2999999998</v>
      </c>
      <c r="F339" s="14">
        <f>SUM(F340:F360)</f>
        <v>5233822.4</v>
      </c>
      <c r="G339" s="14">
        <f>SUM(G340:G360)</f>
        <v>2926252.9999999995</v>
      </c>
      <c r="H339" s="14">
        <f>SUM(H340:H360)</f>
        <v>2028655.8</v>
      </c>
      <c r="I339" s="14">
        <f t="shared" si="26"/>
        <v>-897597.1999999995</v>
      </c>
      <c r="J339" s="14">
        <f>H339/G339*100</f>
        <v>69.32605622275314</v>
      </c>
      <c r="K339" s="14">
        <f aca="true" t="shared" si="32" ref="K339:K351">H339/F339*100</f>
        <v>38.76050131162265</v>
      </c>
      <c r="L339" s="14">
        <f t="shared" si="29"/>
        <v>599667.5000000002</v>
      </c>
      <c r="M339" s="14">
        <f>H339/E339*100</f>
        <v>141.96447934528226</v>
      </c>
      <c r="N339" s="69"/>
    </row>
    <row r="340" spans="1:14" ht="94.5">
      <c r="A340" s="73"/>
      <c r="B340" s="73"/>
      <c r="C340" s="41" t="s">
        <v>8</v>
      </c>
      <c r="D340" s="54" t="s">
        <v>9</v>
      </c>
      <c r="E340" s="15">
        <f aca="true" t="shared" si="33" ref="E340:H360">SUMIF($C$6:$C$320,$C340,E$6:E$320)</f>
        <v>1373.6</v>
      </c>
      <c r="F340" s="15">
        <f t="shared" si="33"/>
        <v>0</v>
      </c>
      <c r="G340" s="15">
        <f t="shared" si="33"/>
        <v>0</v>
      </c>
      <c r="H340" s="15">
        <f t="shared" si="33"/>
        <v>0</v>
      </c>
      <c r="I340" s="15">
        <f t="shared" si="26"/>
        <v>0</v>
      </c>
      <c r="J340" s="15"/>
      <c r="K340" s="15"/>
      <c r="L340" s="15">
        <f t="shared" si="29"/>
        <v>-1373.6</v>
      </c>
      <c r="M340" s="15"/>
      <c r="N340" s="64"/>
    </row>
    <row r="341" spans="1:13" ht="78.75">
      <c r="A341" s="73"/>
      <c r="B341" s="73"/>
      <c r="C341" s="36" t="s">
        <v>122</v>
      </c>
      <c r="D341" s="44" t="s">
        <v>123</v>
      </c>
      <c r="E341" s="15">
        <f t="shared" si="33"/>
        <v>231744.6</v>
      </c>
      <c r="F341" s="15">
        <f t="shared" si="33"/>
        <v>442688.4</v>
      </c>
      <c r="G341" s="15">
        <f t="shared" si="33"/>
        <v>230184.9</v>
      </c>
      <c r="H341" s="15">
        <f t="shared" si="33"/>
        <v>242257.4</v>
      </c>
      <c r="I341" s="15">
        <f t="shared" si="26"/>
        <v>12072.5</v>
      </c>
      <c r="J341" s="15">
        <f aca="true" t="shared" si="34" ref="J341:J348">H341/G341*100</f>
        <v>105.24469676334111</v>
      </c>
      <c r="K341" s="15">
        <f t="shared" si="32"/>
        <v>54.72413553190009</v>
      </c>
      <c r="L341" s="15">
        <f t="shared" si="29"/>
        <v>10512.799999999988</v>
      </c>
      <c r="M341" s="15">
        <f aca="true" t="shared" si="35" ref="M341:M349">H341/E341*100</f>
        <v>104.53637323156613</v>
      </c>
    </row>
    <row r="342" spans="1:13" ht="31.5">
      <c r="A342" s="73"/>
      <c r="B342" s="73"/>
      <c r="C342" s="35" t="s">
        <v>124</v>
      </c>
      <c r="D342" s="44" t="s">
        <v>125</v>
      </c>
      <c r="E342" s="15">
        <f t="shared" si="33"/>
        <v>-2061.6</v>
      </c>
      <c r="F342" s="15">
        <f t="shared" si="33"/>
        <v>60296.9</v>
      </c>
      <c r="G342" s="15">
        <f t="shared" si="33"/>
        <v>37400</v>
      </c>
      <c r="H342" s="15">
        <f t="shared" si="33"/>
        <v>51397.5</v>
      </c>
      <c r="I342" s="15">
        <f t="shared" si="26"/>
        <v>13997.5</v>
      </c>
      <c r="J342" s="15">
        <f t="shared" si="34"/>
        <v>137.4264705882353</v>
      </c>
      <c r="K342" s="15">
        <f t="shared" si="32"/>
        <v>85.24070059986501</v>
      </c>
      <c r="L342" s="15">
        <f t="shared" si="29"/>
        <v>53459.1</v>
      </c>
      <c r="M342" s="15">
        <f t="shared" si="35"/>
        <v>-2493.0878928987195</v>
      </c>
    </row>
    <row r="343" spans="1:13" ht="18" customHeight="1">
      <c r="A343" s="73"/>
      <c r="B343" s="73"/>
      <c r="C343" s="35" t="s">
        <v>51</v>
      </c>
      <c r="D343" s="44" t="s">
        <v>52</v>
      </c>
      <c r="E343" s="15">
        <f t="shared" si="33"/>
        <v>1262.4</v>
      </c>
      <c r="F343" s="15">
        <f t="shared" si="33"/>
        <v>815.8</v>
      </c>
      <c r="G343" s="15">
        <f t="shared" si="33"/>
        <v>543.8</v>
      </c>
      <c r="H343" s="15">
        <f t="shared" si="33"/>
        <v>757.1</v>
      </c>
      <c r="I343" s="15">
        <f t="shared" si="26"/>
        <v>213.30000000000007</v>
      </c>
      <c r="J343" s="15">
        <f t="shared" si="34"/>
        <v>139.22397940419273</v>
      </c>
      <c r="K343" s="15">
        <f t="shared" si="32"/>
        <v>92.80460897278746</v>
      </c>
      <c r="L343" s="15">
        <f t="shared" si="29"/>
        <v>-505.30000000000007</v>
      </c>
      <c r="M343" s="15">
        <f t="shared" si="35"/>
        <v>59.97306717363752</v>
      </c>
    </row>
    <row r="344" spans="1:13" ht="63">
      <c r="A344" s="73"/>
      <c r="B344" s="73"/>
      <c r="C344" s="35" t="s">
        <v>10</v>
      </c>
      <c r="D344" s="44" t="s">
        <v>11</v>
      </c>
      <c r="E344" s="15">
        <f t="shared" si="33"/>
        <v>52079.6</v>
      </c>
      <c r="F344" s="15">
        <f t="shared" si="33"/>
        <v>82260.4</v>
      </c>
      <c r="G344" s="15">
        <f t="shared" si="33"/>
        <v>52700</v>
      </c>
      <c r="H344" s="15">
        <f t="shared" si="33"/>
        <v>35519.6</v>
      </c>
      <c r="I344" s="15">
        <f t="shared" si="26"/>
        <v>-17180.4</v>
      </c>
      <c r="J344" s="15">
        <f t="shared" si="34"/>
        <v>67.39962049335864</v>
      </c>
      <c r="K344" s="15">
        <f t="shared" si="32"/>
        <v>43.17946423795654</v>
      </c>
      <c r="L344" s="15">
        <f t="shared" si="29"/>
        <v>-16560</v>
      </c>
      <c r="M344" s="15">
        <f t="shared" si="35"/>
        <v>68.20252075668783</v>
      </c>
    </row>
    <row r="345" spans="1:15" ht="94.5">
      <c r="A345" s="73"/>
      <c r="B345" s="73"/>
      <c r="C345" s="35" t="s">
        <v>91</v>
      </c>
      <c r="D345" s="44" t="s">
        <v>92</v>
      </c>
      <c r="E345" s="15">
        <f t="shared" si="33"/>
        <v>52796.1</v>
      </c>
      <c r="F345" s="15">
        <f t="shared" si="33"/>
        <v>91955.4</v>
      </c>
      <c r="G345" s="15">
        <f t="shared" si="33"/>
        <v>58660.2</v>
      </c>
      <c r="H345" s="15">
        <f t="shared" si="33"/>
        <v>37413.2</v>
      </c>
      <c r="I345" s="15">
        <f t="shared" si="26"/>
        <v>-21247</v>
      </c>
      <c r="J345" s="15">
        <f t="shared" si="34"/>
        <v>63.779530243674586</v>
      </c>
      <c r="K345" s="15">
        <f t="shared" si="32"/>
        <v>40.686245723470286</v>
      </c>
      <c r="L345" s="15">
        <f t="shared" si="29"/>
        <v>-15382.900000000001</v>
      </c>
      <c r="M345" s="15">
        <f t="shared" si="35"/>
        <v>70.86356757412005</v>
      </c>
      <c r="N345" s="65"/>
      <c r="O345" s="65"/>
    </row>
    <row r="346" spans="1:13" ht="141.75">
      <c r="A346" s="73"/>
      <c r="B346" s="73"/>
      <c r="C346" s="35" t="s">
        <v>86</v>
      </c>
      <c r="D346" s="44" t="s">
        <v>87</v>
      </c>
      <c r="E346" s="15">
        <f t="shared" si="33"/>
        <v>1130</v>
      </c>
      <c r="F346" s="15">
        <f t="shared" si="33"/>
        <v>1508.6</v>
      </c>
      <c r="G346" s="15">
        <f t="shared" si="33"/>
        <v>702</v>
      </c>
      <c r="H346" s="15">
        <f t="shared" si="33"/>
        <v>2325.7</v>
      </c>
      <c r="I346" s="15">
        <f t="shared" si="26"/>
        <v>1623.6999999999998</v>
      </c>
      <c r="J346" s="15">
        <f t="shared" si="34"/>
        <v>331.2962962962963</v>
      </c>
      <c r="K346" s="15">
        <f t="shared" si="32"/>
        <v>154.16279994697072</v>
      </c>
      <c r="L346" s="15">
        <f t="shared" si="29"/>
        <v>1195.6999999999998</v>
      </c>
      <c r="M346" s="15">
        <f t="shared" si="35"/>
        <v>205.81415929203536</v>
      </c>
    </row>
    <row r="347" spans="1:15" ht="110.25">
      <c r="A347" s="73"/>
      <c r="B347" s="73"/>
      <c r="C347" s="35" t="s">
        <v>63</v>
      </c>
      <c r="D347" s="49" t="s">
        <v>64</v>
      </c>
      <c r="E347" s="15">
        <f t="shared" si="33"/>
        <v>2150.6</v>
      </c>
      <c r="F347" s="15">
        <f t="shared" si="33"/>
        <v>1573.4</v>
      </c>
      <c r="G347" s="15">
        <f t="shared" si="33"/>
        <v>965.3000000000001</v>
      </c>
      <c r="H347" s="15">
        <f t="shared" si="33"/>
        <v>1351.6</v>
      </c>
      <c r="I347" s="15">
        <f t="shared" si="26"/>
        <v>386.29999999999984</v>
      </c>
      <c r="J347" s="15">
        <f t="shared" si="34"/>
        <v>140.0186470527297</v>
      </c>
      <c r="K347" s="15">
        <f t="shared" si="32"/>
        <v>85.90313969747044</v>
      </c>
      <c r="L347" s="15">
        <f t="shared" si="29"/>
        <v>-799</v>
      </c>
      <c r="M347" s="15">
        <f t="shared" si="35"/>
        <v>62.84757742025481</v>
      </c>
      <c r="N347" s="65"/>
      <c r="O347" s="65"/>
    </row>
    <row r="348" spans="1:13" ht="63">
      <c r="A348" s="73"/>
      <c r="B348" s="73"/>
      <c r="C348" s="35" t="s">
        <v>12</v>
      </c>
      <c r="D348" s="44" t="s">
        <v>13</v>
      </c>
      <c r="E348" s="15">
        <f t="shared" si="33"/>
        <v>36784.3</v>
      </c>
      <c r="F348" s="15">
        <f t="shared" si="33"/>
        <v>18949.5</v>
      </c>
      <c r="G348" s="15">
        <f t="shared" si="33"/>
        <v>18949.5</v>
      </c>
      <c r="H348" s="15">
        <f t="shared" si="33"/>
        <v>27522</v>
      </c>
      <c r="I348" s="15">
        <f t="shared" si="26"/>
        <v>8572.5</v>
      </c>
      <c r="J348" s="15">
        <f t="shared" si="34"/>
        <v>145.23866065067682</v>
      </c>
      <c r="K348" s="15">
        <f t="shared" si="32"/>
        <v>145.23866065067682</v>
      </c>
      <c r="L348" s="15">
        <f t="shared" si="29"/>
        <v>-9262.300000000003</v>
      </c>
      <c r="M348" s="15">
        <f t="shared" si="35"/>
        <v>74.81996395201213</v>
      </c>
    </row>
    <row r="349" spans="1:13" ht="94.5">
      <c r="A349" s="73"/>
      <c r="B349" s="73"/>
      <c r="C349" s="36" t="s">
        <v>14</v>
      </c>
      <c r="D349" s="54" t="s">
        <v>15</v>
      </c>
      <c r="E349" s="15">
        <f t="shared" si="33"/>
        <v>142694.4</v>
      </c>
      <c r="F349" s="15">
        <f t="shared" si="33"/>
        <v>168017.5</v>
      </c>
      <c r="G349" s="15">
        <f t="shared" si="33"/>
        <v>114809.3</v>
      </c>
      <c r="H349" s="15">
        <f t="shared" si="33"/>
        <v>59952.5</v>
      </c>
      <c r="I349" s="15">
        <f t="shared" si="26"/>
        <v>-54856.8</v>
      </c>
      <c r="J349" s="15">
        <f>H349/G349*100</f>
        <v>52.219201754561695</v>
      </c>
      <c r="K349" s="15">
        <f t="shared" si="32"/>
        <v>35.682294999032834</v>
      </c>
      <c r="L349" s="15">
        <f t="shared" si="29"/>
        <v>-82741.9</v>
      </c>
      <c r="M349" s="15">
        <f t="shared" si="35"/>
        <v>42.01461304718335</v>
      </c>
    </row>
    <row r="350" spans="1:13" ht="18" customHeight="1">
      <c r="A350" s="73"/>
      <c r="B350" s="73"/>
      <c r="C350" s="35" t="s">
        <v>53</v>
      </c>
      <c r="D350" s="45" t="s">
        <v>54</v>
      </c>
      <c r="E350" s="15">
        <f t="shared" si="33"/>
        <v>6022.8</v>
      </c>
      <c r="F350" s="15">
        <f t="shared" si="33"/>
        <v>8099.1</v>
      </c>
      <c r="G350" s="15">
        <f t="shared" si="33"/>
        <v>5994.3</v>
      </c>
      <c r="H350" s="15">
        <f t="shared" si="33"/>
        <v>2927.4</v>
      </c>
      <c r="I350" s="15">
        <f t="shared" si="26"/>
        <v>-3066.9</v>
      </c>
      <c r="J350" s="15">
        <f>H350/G350*100</f>
        <v>48.8363945748461</v>
      </c>
      <c r="K350" s="15">
        <f t="shared" si="32"/>
        <v>36.144756824832385</v>
      </c>
      <c r="L350" s="15">
        <f t="shared" si="29"/>
        <v>-3095.4</v>
      </c>
      <c r="M350" s="15">
        <f aca="true" t="shared" si="36" ref="M350:M369">H350/E350*100</f>
        <v>48.60529986052999</v>
      </c>
    </row>
    <row r="351" spans="1:13" ht="32.25" customHeight="1">
      <c r="A351" s="73"/>
      <c r="B351" s="73"/>
      <c r="C351" s="35" t="s">
        <v>16</v>
      </c>
      <c r="D351" s="45" t="s">
        <v>17</v>
      </c>
      <c r="E351" s="15">
        <f t="shared" si="33"/>
        <v>474205.29999999993</v>
      </c>
      <c r="F351" s="15">
        <f t="shared" si="33"/>
        <v>3860137.4</v>
      </c>
      <c r="G351" s="15">
        <f t="shared" si="33"/>
        <v>2108321.8</v>
      </c>
      <c r="H351" s="15">
        <f t="shared" si="33"/>
        <v>1118694.8</v>
      </c>
      <c r="I351" s="15">
        <f t="shared" si="26"/>
        <v>-989626.9999999998</v>
      </c>
      <c r="J351" s="15">
        <f>H351/G351*100</f>
        <v>53.060913186971746</v>
      </c>
      <c r="K351" s="15">
        <f t="shared" si="32"/>
        <v>28.98069897719185</v>
      </c>
      <c r="L351" s="15">
        <f t="shared" si="29"/>
        <v>644489.5000000001</v>
      </c>
      <c r="M351" s="15">
        <f t="shared" si="36"/>
        <v>235.90938355180765</v>
      </c>
    </row>
    <row r="352" spans="1:13" ht="32.25" customHeight="1">
      <c r="A352" s="73"/>
      <c r="B352" s="73"/>
      <c r="C352" s="35" t="s">
        <v>118</v>
      </c>
      <c r="D352" s="45" t="s">
        <v>119</v>
      </c>
      <c r="E352" s="15">
        <f t="shared" si="33"/>
        <v>1086.8</v>
      </c>
      <c r="F352" s="15">
        <f t="shared" si="33"/>
        <v>0</v>
      </c>
      <c r="G352" s="15">
        <f t="shared" si="33"/>
        <v>0</v>
      </c>
      <c r="H352" s="15">
        <f t="shared" si="33"/>
        <v>0</v>
      </c>
      <c r="I352" s="15">
        <f t="shared" si="26"/>
        <v>0</v>
      </c>
      <c r="J352" s="15"/>
      <c r="K352" s="15"/>
      <c r="L352" s="15">
        <f t="shared" si="29"/>
        <v>-1086.8</v>
      </c>
      <c r="M352" s="15">
        <f t="shared" si="36"/>
        <v>0</v>
      </c>
    </row>
    <row r="353" spans="1:13" ht="98.25" customHeight="1">
      <c r="A353" s="73"/>
      <c r="B353" s="73"/>
      <c r="C353" s="36" t="s">
        <v>65</v>
      </c>
      <c r="D353" s="44" t="s">
        <v>66</v>
      </c>
      <c r="E353" s="15">
        <f t="shared" si="33"/>
        <v>0.7</v>
      </c>
      <c r="F353" s="15">
        <f t="shared" si="33"/>
        <v>0</v>
      </c>
      <c r="G353" s="15">
        <f t="shared" si="33"/>
        <v>0</v>
      </c>
      <c r="H353" s="15">
        <f t="shared" si="33"/>
        <v>41.4</v>
      </c>
      <c r="I353" s="15">
        <f t="shared" si="26"/>
        <v>41.4</v>
      </c>
      <c r="J353" s="15"/>
      <c r="K353" s="15"/>
      <c r="L353" s="15">
        <f t="shared" si="29"/>
        <v>40.699999999999996</v>
      </c>
      <c r="M353" s="15">
        <f t="shared" si="36"/>
        <v>5914.285714285715</v>
      </c>
    </row>
    <row r="354" spans="1:15" ht="94.5">
      <c r="A354" s="73"/>
      <c r="B354" s="73"/>
      <c r="C354" s="35" t="s">
        <v>18</v>
      </c>
      <c r="D354" s="45" t="s">
        <v>19</v>
      </c>
      <c r="E354" s="15">
        <f t="shared" si="33"/>
        <v>93047.8</v>
      </c>
      <c r="F354" s="15">
        <f t="shared" si="33"/>
        <v>87220.5</v>
      </c>
      <c r="G354" s="15">
        <f t="shared" si="33"/>
        <v>53536.6</v>
      </c>
      <c r="H354" s="15">
        <f t="shared" si="33"/>
        <v>35482.7</v>
      </c>
      <c r="I354" s="15">
        <f t="shared" si="26"/>
        <v>-18053.9</v>
      </c>
      <c r="J354" s="15">
        <f>H354/G354*100</f>
        <v>66.27746252096696</v>
      </c>
      <c r="K354" s="15">
        <f>H354/F354*100</f>
        <v>40.68160581514667</v>
      </c>
      <c r="L354" s="15">
        <f t="shared" si="29"/>
        <v>-57565.100000000006</v>
      </c>
      <c r="M354" s="15">
        <f t="shared" si="36"/>
        <v>38.133840886082204</v>
      </c>
      <c r="N354" s="65"/>
      <c r="O354" s="65"/>
    </row>
    <row r="355" spans="1:13" ht="63">
      <c r="A355" s="73"/>
      <c r="B355" s="73"/>
      <c r="C355" s="36" t="s">
        <v>126</v>
      </c>
      <c r="D355" s="44" t="s">
        <v>127</v>
      </c>
      <c r="E355" s="15">
        <f t="shared" si="33"/>
        <v>56062.9</v>
      </c>
      <c r="F355" s="15">
        <f t="shared" si="33"/>
        <v>110724.7</v>
      </c>
      <c r="G355" s="15">
        <f t="shared" si="33"/>
        <v>65300</v>
      </c>
      <c r="H355" s="15">
        <f t="shared" si="33"/>
        <v>35840.3</v>
      </c>
      <c r="I355" s="15">
        <f t="shared" si="26"/>
        <v>-29459.699999999997</v>
      </c>
      <c r="J355" s="15">
        <f>H355/G355*100</f>
        <v>54.88560490045942</v>
      </c>
      <c r="K355" s="15">
        <f>H355/F355*100</f>
        <v>32.36883911177904</v>
      </c>
      <c r="L355" s="15">
        <f t="shared" si="29"/>
        <v>-20222.6</v>
      </c>
      <c r="M355" s="15">
        <f t="shared" si="36"/>
        <v>63.92873005142439</v>
      </c>
    </row>
    <row r="356" spans="1:15" ht="63">
      <c r="A356" s="73"/>
      <c r="B356" s="73"/>
      <c r="C356" s="36" t="s">
        <v>128</v>
      </c>
      <c r="D356" s="44" t="s">
        <v>129</v>
      </c>
      <c r="E356" s="15">
        <f t="shared" si="33"/>
        <v>2559.7</v>
      </c>
      <c r="F356" s="15">
        <f t="shared" si="33"/>
        <v>0</v>
      </c>
      <c r="G356" s="15">
        <f t="shared" si="33"/>
        <v>0</v>
      </c>
      <c r="H356" s="15">
        <f t="shared" si="33"/>
        <v>123246.9</v>
      </c>
      <c r="I356" s="15">
        <f t="shared" si="26"/>
        <v>123246.9</v>
      </c>
      <c r="J356" s="15"/>
      <c r="K356" s="15"/>
      <c r="L356" s="15">
        <f t="shared" si="29"/>
        <v>120687.2</v>
      </c>
      <c r="M356" s="15">
        <f t="shared" si="36"/>
        <v>4814.89627690745</v>
      </c>
      <c r="N356" s="65"/>
      <c r="O356" s="65"/>
    </row>
    <row r="357" spans="1:13" ht="94.5">
      <c r="A357" s="73"/>
      <c r="B357" s="73"/>
      <c r="C357" s="36" t="s">
        <v>130</v>
      </c>
      <c r="D357" s="44" t="s">
        <v>131</v>
      </c>
      <c r="E357" s="15">
        <f t="shared" si="33"/>
        <v>3990.9</v>
      </c>
      <c r="F357" s="15">
        <f t="shared" si="33"/>
        <v>35860</v>
      </c>
      <c r="G357" s="15">
        <f t="shared" si="33"/>
        <v>20300</v>
      </c>
      <c r="H357" s="15">
        <f t="shared" si="33"/>
        <v>34500.2</v>
      </c>
      <c r="I357" s="15">
        <f t="shared" si="26"/>
        <v>14200.199999999997</v>
      </c>
      <c r="J357" s="15">
        <f>H357/G357*100</f>
        <v>169.95172413793102</v>
      </c>
      <c r="K357" s="15">
        <f>H357/F357*100</f>
        <v>96.2080312325711</v>
      </c>
      <c r="L357" s="15">
        <f t="shared" si="29"/>
        <v>30509.299999999996</v>
      </c>
      <c r="M357" s="15">
        <f t="shared" si="36"/>
        <v>864.4716730562028</v>
      </c>
    </row>
    <row r="358" spans="1:13" ht="18.75" customHeight="1">
      <c r="A358" s="73"/>
      <c r="B358" s="73"/>
      <c r="C358" s="35" t="s">
        <v>20</v>
      </c>
      <c r="D358" s="45" t="s">
        <v>21</v>
      </c>
      <c r="E358" s="15">
        <f t="shared" si="33"/>
        <v>244955.10000000003</v>
      </c>
      <c r="F358" s="15">
        <f t="shared" si="33"/>
        <v>220797.50000000003</v>
      </c>
      <c r="G358" s="15">
        <f t="shared" si="33"/>
        <v>132304</v>
      </c>
      <c r="H358" s="15">
        <f t="shared" si="33"/>
        <v>151887.59999999998</v>
      </c>
      <c r="I358" s="15">
        <f t="shared" si="26"/>
        <v>19583.599999999977</v>
      </c>
      <c r="J358" s="15">
        <f>H358/G358*100</f>
        <v>114.8019712178014</v>
      </c>
      <c r="K358" s="15">
        <f>H358/F358*100</f>
        <v>68.79045279045278</v>
      </c>
      <c r="L358" s="15">
        <f t="shared" si="29"/>
        <v>-93067.50000000006</v>
      </c>
      <c r="M358" s="15">
        <f t="shared" si="36"/>
        <v>62.00630237949728</v>
      </c>
    </row>
    <row r="359" spans="1:13" ht="18.75" customHeight="1">
      <c r="A359" s="73"/>
      <c r="B359" s="73"/>
      <c r="C359" s="35" t="s">
        <v>22</v>
      </c>
      <c r="D359" s="45" t="s">
        <v>23</v>
      </c>
      <c r="E359" s="15">
        <f t="shared" si="33"/>
        <v>65.69999999999999</v>
      </c>
      <c r="F359" s="15">
        <f t="shared" si="33"/>
        <v>0</v>
      </c>
      <c r="G359" s="15">
        <f t="shared" si="33"/>
        <v>0</v>
      </c>
      <c r="H359" s="15">
        <f t="shared" si="33"/>
        <v>-290.20000000000005</v>
      </c>
      <c r="I359" s="15">
        <f t="shared" si="26"/>
        <v>-290.20000000000005</v>
      </c>
      <c r="J359" s="15"/>
      <c r="K359" s="15"/>
      <c r="L359" s="15">
        <f t="shared" si="29"/>
        <v>-355.90000000000003</v>
      </c>
      <c r="M359" s="15">
        <f t="shared" si="36"/>
        <v>-441.7047184170474</v>
      </c>
    </row>
    <row r="360" spans="1:14" ht="18.75" customHeight="1">
      <c r="A360" s="73"/>
      <c r="B360" s="73"/>
      <c r="C360" s="35" t="s">
        <v>24</v>
      </c>
      <c r="D360" s="45" t="s">
        <v>25</v>
      </c>
      <c r="E360" s="15">
        <f t="shared" si="33"/>
        <v>27036.6</v>
      </c>
      <c r="F360" s="15">
        <f t="shared" si="33"/>
        <v>42917.3</v>
      </c>
      <c r="G360" s="15">
        <f t="shared" si="33"/>
        <v>25581.3</v>
      </c>
      <c r="H360" s="15">
        <f t="shared" si="33"/>
        <v>67828.1</v>
      </c>
      <c r="I360" s="15">
        <f t="shared" si="26"/>
        <v>42246.8</v>
      </c>
      <c r="J360" s="15">
        <f aca="true" t="shared" si="37" ref="J360:J368">H360/G360*100</f>
        <v>265.1471973668266</v>
      </c>
      <c r="K360" s="15">
        <f aca="true" t="shared" si="38" ref="K360:K368">H360/F360*100</f>
        <v>158.0437259566655</v>
      </c>
      <c r="L360" s="15">
        <f t="shared" si="29"/>
        <v>40791.50000000001</v>
      </c>
      <c r="M360" s="15">
        <f t="shared" si="36"/>
        <v>250.87511003602526</v>
      </c>
      <c r="N360" s="65"/>
    </row>
    <row r="361" spans="1:13" s="29" customFormat="1" ht="33.75" customHeight="1">
      <c r="A361" s="73"/>
      <c r="B361" s="73"/>
      <c r="C361" s="37"/>
      <c r="D361" s="46" t="s">
        <v>136</v>
      </c>
      <c r="E361" s="14">
        <f>E328+E339</f>
        <v>9913686.0265625</v>
      </c>
      <c r="F361" s="14">
        <f>F328+F339</f>
        <v>20924553.800000004</v>
      </c>
      <c r="G361" s="14">
        <f>G328+G339</f>
        <v>11758106.999999998</v>
      </c>
      <c r="H361" s="14">
        <f>H328+H339</f>
        <v>10210798.100000001</v>
      </c>
      <c r="I361" s="14">
        <f t="shared" si="26"/>
        <v>-1547308.8999999966</v>
      </c>
      <c r="J361" s="14">
        <f t="shared" si="37"/>
        <v>86.84049311679169</v>
      </c>
      <c r="K361" s="14">
        <f t="shared" si="38"/>
        <v>48.79816409753024</v>
      </c>
      <c r="L361" s="14">
        <f t="shared" si="29"/>
        <v>297112.07343750075</v>
      </c>
      <c r="M361" s="14">
        <f t="shared" si="36"/>
        <v>102.99698893672269</v>
      </c>
    </row>
    <row r="362" spans="1:13" s="2" customFormat="1" ht="33.75" customHeight="1">
      <c r="A362" s="73"/>
      <c r="B362" s="73"/>
      <c r="C362" s="37" t="s">
        <v>141</v>
      </c>
      <c r="D362" s="46" t="s">
        <v>157</v>
      </c>
      <c r="E362" s="14">
        <f>SUM(E363:E369)</f>
        <v>6696811.5</v>
      </c>
      <c r="F362" s="14">
        <f>SUM(F363:F369)</f>
        <v>21152098.200000003</v>
      </c>
      <c r="G362" s="14">
        <f>SUM(G363:G369)</f>
        <v>10135590.1</v>
      </c>
      <c r="H362" s="14">
        <f>SUM(H363:H369)</f>
        <v>9870895.299999999</v>
      </c>
      <c r="I362" s="14">
        <f t="shared" si="26"/>
        <v>-264694.80000000075</v>
      </c>
      <c r="J362" s="14">
        <f t="shared" si="37"/>
        <v>97.38846187159838</v>
      </c>
      <c r="K362" s="14">
        <f t="shared" si="38"/>
        <v>46.66627020481589</v>
      </c>
      <c r="L362" s="14">
        <f t="shared" si="29"/>
        <v>3174083.799999999</v>
      </c>
      <c r="M362" s="14">
        <f t="shared" si="36"/>
        <v>147.39694106665536</v>
      </c>
    </row>
    <row r="363" spans="1:13" ht="18.75" customHeight="1">
      <c r="A363" s="73"/>
      <c r="B363" s="73"/>
      <c r="C363" s="35" t="s">
        <v>35</v>
      </c>
      <c r="D363" s="55" t="s">
        <v>36</v>
      </c>
      <c r="E363" s="15">
        <f aca="true" t="shared" si="39" ref="E363:H369">SUMIF($C$6:$C$320,$C363,E$6:E$320)</f>
        <v>350679.6</v>
      </c>
      <c r="F363" s="15">
        <f t="shared" si="39"/>
        <v>1108359.9</v>
      </c>
      <c r="G363" s="15">
        <f t="shared" si="39"/>
        <v>1108359.9</v>
      </c>
      <c r="H363" s="15">
        <f t="shared" si="39"/>
        <v>1108359.9</v>
      </c>
      <c r="I363" s="15">
        <f t="shared" si="26"/>
        <v>0</v>
      </c>
      <c r="J363" s="15">
        <f t="shared" si="37"/>
        <v>100</v>
      </c>
      <c r="K363" s="15">
        <f t="shared" si="38"/>
        <v>100</v>
      </c>
      <c r="L363" s="15">
        <f t="shared" si="29"/>
        <v>757680.2999999999</v>
      </c>
      <c r="M363" s="15">
        <f t="shared" si="36"/>
        <v>316.06055784254346</v>
      </c>
    </row>
    <row r="364" spans="1:13" ht="33.75" customHeight="1">
      <c r="A364" s="73"/>
      <c r="B364" s="73"/>
      <c r="C364" s="35" t="s">
        <v>26</v>
      </c>
      <c r="D364" s="45" t="s">
        <v>27</v>
      </c>
      <c r="E364" s="15">
        <f t="shared" si="39"/>
        <v>1010137.4</v>
      </c>
      <c r="F364" s="15">
        <f t="shared" si="39"/>
        <v>7424516.100000001</v>
      </c>
      <c r="G364" s="15">
        <f t="shared" si="39"/>
        <v>2356374.6</v>
      </c>
      <c r="H364" s="15">
        <f t="shared" si="39"/>
        <v>2188917.1</v>
      </c>
      <c r="I364" s="15">
        <f t="shared" si="26"/>
        <v>-167457.5</v>
      </c>
      <c r="J364" s="15">
        <f t="shared" si="37"/>
        <v>92.89342619802471</v>
      </c>
      <c r="K364" s="15">
        <f t="shared" si="38"/>
        <v>29.48228639439545</v>
      </c>
      <c r="L364" s="15">
        <f t="shared" si="29"/>
        <v>1178779.7000000002</v>
      </c>
      <c r="M364" s="15">
        <f t="shared" si="36"/>
        <v>216.6949862464255</v>
      </c>
    </row>
    <row r="365" spans="1:13" ht="33.75" customHeight="1">
      <c r="A365" s="73"/>
      <c r="B365" s="73"/>
      <c r="C365" s="35" t="s">
        <v>47</v>
      </c>
      <c r="D365" s="45" t="s">
        <v>48</v>
      </c>
      <c r="E365" s="15">
        <f t="shared" si="39"/>
        <v>5024968.999999999</v>
      </c>
      <c r="F365" s="15">
        <f t="shared" si="39"/>
        <v>9354684.999999998</v>
      </c>
      <c r="G365" s="15">
        <f t="shared" si="39"/>
        <v>5848722.4</v>
      </c>
      <c r="H365" s="15">
        <f t="shared" si="39"/>
        <v>5848683.2</v>
      </c>
      <c r="I365" s="15">
        <f t="shared" si="26"/>
        <v>-39.200000000186265</v>
      </c>
      <c r="J365" s="15">
        <f t="shared" si="37"/>
        <v>99.99932976815586</v>
      </c>
      <c r="K365" s="15">
        <f t="shared" si="38"/>
        <v>62.521433912526206</v>
      </c>
      <c r="L365" s="15">
        <f t="shared" si="29"/>
        <v>823714.2000000011</v>
      </c>
      <c r="M365" s="15">
        <f t="shared" si="36"/>
        <v>116.39242351544858</v>
      </c>
    </row>
    <row r="366" spans="1:13" ht="18.75" customHeight="1">
      <c r="A366" s="73"/>
      <c r="B366" s="73"/>
      <c r="C366" s="35" t="s">
        <v>28</v>
      </c>
      <c r="D366" s="45" t="s">
        <v>29</v>
      </c>
      <c r="E366" s="15">
        <f t="shared" si="39"/>
        <v>373525.9</v>
      </c>
      <c r="F366" s="15">
        <f t="shared" si="39"/>
        <v>3258561.1</v>
      </c>
      <c r="G366" s="15">
        <f t="shared" si="39"/>
        <v>816157.1</v>
      </c>
      <c r="H366" s="15">
        <f t="shared" si="39"/>
        <v>750840.6</v>
      </c>
      <c r="I366" s="15">
        <f t="shared" si="26"/>
        <v>-65316.5</v>
      </c>
      <c r="J366" s="15">
        <f t="shared" si="37"/>
        <v>91.99706772139824</v>
      </c>
      <c r="K366" s="15">
        <f t="shared" si="38"/>
        <v>23.042090571817113</v>
      </c>
      <c r="L366" s="15">
        <f t="shared" si="29"/>
        <v>377314.69999999995</v>
      </c>
      <c r="M366" s="15">
        <f t="shared" si="36"/>
        <v>201.01433394578527</v>
      </c>
    </row>
    <row r="367" spans="1:13" ht="33.75" customHeight="1">
      <c r="A367" s="73"/>
      <c r="B367" s="73"/>
      <c r="C367" s="35" t="s">
        <v>55</v>
      </c>
      <c r="D367" s="45" t="s">
        <v>56</v>
      </c>
      <c r="E367" s="15">
        <f t="shared" si="39"/>
        <v>349.4</v>
      </c>
      <c r="F367" s="15">
        <f t="shared" si="39"/>
        <v>0</v>
      </c>
      <c r="G367" s="15">
        <f t="shared" si="39"/>
        <v>0</v>
      </c>
      <c r="H367" s="15">
        <f t="shared" si="39"/>
        <v>61605.700000000004</v>
      </c>
      <c r="I367" s="15">
        <f t="shared" si="26"/>
        <v>61605.700000000004</v>
      </c>
      <c r="J367" s="15"/>
      <c r="K367" s="15"/>
      <c r="L367" s="15">
        <f t="shared" si="29"/>
        <v>61256.3</v>
      </c>
      <c r="M367" s="15">
        <f t="shared" si="36"/>
        <v>17631.85460789926</v>
      </c>
    </row>
    <row r="368" spans="1:13" ht="94.5">
      <c r="A368" s="73"/>
      <c r="B368" s="73"/>
      <c r="C368" s="35" t="s">
        <v>59</v>
      </c>
      <c r="D368" s="56" t="s">
        <v>60</v>
      </c>
      <c r="E368" s="15">
        <f t="shared" si="39"/>
        <v>4329</v>
      </c>
      <c r="F368" s="15">
        <f t="shared" si="39"/>
        <v>5976.1</v>
      </c>
      <c r="G368" s="15">
        <f t="shared" si="39"/>
        <v>5976.1</v>
      </c>
      <c r="H368" s="15">
        <f t="shared" si="39"/>
        <v>18807.4</v>
      </c>
      <c r="I368" s="15">
        <f t="shared" si="26"/>
        <v>12831.300000000001</v>
      </c>
      <c r="J368" s="15">
        <f t="shared" si="37"/>
        <v>314.71026254580744</v>
      </c>
      <c r="K368" s="15">
        <f t="shared" si="38"/>
        <v>314.71026254580744</v>
      </c>
      <c r="L368" s="15">
        <f t="shared" si="29"/>
        <v>14478.400000000001</v>
      </c>
      <c r="M368" s="15">
        <f t="shared" si="36"/>
        <v>434.4513744513745</v>
      </c>
    </row>
    <row r="369" spans="1:13" ht="47.25">
      <c r="A369" s="73"/>
      <c r="B369" s="73"/>
      <c r="C369" s="35" t="s">
        <v>30</v>
      </c>
      <c r="D369" s="45" t="s">
        <v>31</v>
      </c>
      <c r="E369" s="15">
        <f t="shared" si="39"/>
        <v>-67178.79999999999</v>
      </c>
      <c r="F369" s="15">
        <f t="shared" si="39"/>
        <v>0</v>
      </c>
      <c r="G369" s="15">
        <f t="shared" si="39"/>
        <v>0</v>
      </c>
      <c r="H369" s="15">
        <f t="shared" si="39"/>
        <v>-106318.6</v>
      </c>
      <c r="I369" s="15">
        <f t="shared" si="26"/>
        <v>-106318.6</v>
      </c>
      <c r="J369" s="15"/>
      <c r="K369" s="15"/>
      <c r="L369" s="15">
        <f t="shared" si="29"/>
        <v>-39139.80000000002</v>
      </c>
      <c r="M369" s="15">
        <f t="shared" si="36"/>
        <v>158.26213031492082</v>
      </c>
    </row>
    <row r="370" spans="1:13" s="68" customFormat="1" ht="22.5" customHeight="1">
      <c r="A370" s="73"/>
      <c r="B370" s="73"/>
      <c r="C370" s="66"/>
      <c r="D370" s="67" t="s">
        <v>142</v>
      </c>
      <c r="E370" s="14">
        <f>E361+E362</f>
        <v>16610497.5265625</v>
      </c>
      <c r="F370" s="14">
        <f>F361+F362</f>
        <v>42076652.00000001</v>
      </c>
      <c r="G370" s="14">
        <f>G361+G362</f>
        <v>21893697.099999998</v>
      </c>
      <c r="H370" s="14">
        <f>H361+H362</f>
        <v>20081693.4</v>
      </c>
      <c r="I370" s="14">
        <f t="shared" si="26"/>
        <v>-1812003.6999999993</v>
      </c>
      <c r="J370" s="14">
        <f>H370/G370*100</f>
        <v>91.7236285323414</v>
      </c>
      <c r="K370" s="14">
        <f>H370/F370*100</f>
        <v>47.726452665482974</v>
      </c>
      <c r="L370" s="14">
        <f t="shared" si="29"/>
        <v>3471195.8734374978</v>
      </c>
      <c r="M370" s="14">
        <f>H370/E370*100</f>
        <v>120.89760326496284</v>
      </c>
    </row>
    <row r="371" spans="1:10" ht="15.75">
      <c r="A371" s="30"/>
      <c r="B371" s="31"/>
      <c r="C371" s="42"/>
      <c r="D371" s="56"/>
      <c r="E371" s="19"/>
      <c r="F371" s="16"/>
      <c r="G371" s="16"/>
      <c r="H371" s="19"/>
      <c r="I371" s="19"/>
      <c r="J371" s="19"/>
    </row>
    <row r="372" spans="1:10" ht="15.75">
      <c r="A372" s="32"/>
      <c r="B372" s="31"/>
      <c r="C372" s="42"/>
      <c r="D372" s="56"/>
      <c r="E372" s="19"/>
      <c r="F372" s="16"/>
      <c r="G372" s="16"/>
      <c r="H372" s="59"/>
      <c r="I372" s="22"/>
      <c r="J372" s="22"/>
    </row>
    <row r="373" spans="1:10" ht="15.75">
      <c r="A373" s="32"/>
      <c r="B373" s="31"/>
      <c r="C373" s="42"/>
      <c r="D373" s="56"/>
      <c r="E373" s="19"/>
      <c r="F373" s="16"/>
      <c r="G373" s="16"/>
      <c r="H373" s="16"/>
      <c r="I373" s="22"/>
      <c r="J373" s="22"/>
    </row>
    <row r="374" spans="1:10" ht="15.75">
      <c r="A374" s="32"/>
      <c r="B374" s="31"/>
      <c r="C374" s="42"/>
      <c r="D374" s="56"/>
      <c r="E374" s="19"/>
      <c r="F374" s="16"/>
      <c r="G374" s="16"/>
      <c r="H374" s="16"/>
      <c r="I374" s="22"/>
      <c r="J374" s="22"/>
    </row>
    <row r="375" spans="1:10" ht="15.75">
      <c r="A375" s="32"/>
      <c r="B375" s="31"/>
      <c r="C375" s="42"/>
      <c r="D375" s="56"/>
      <c r="E375" s="19"/>
      <c r="F375" s="16"/>
      <c r="G375" s="16"/>
      <c r="H375" s="16"/>
      <c r="I375" s="22"/>
      <c r="J375" s="22"/>
    </row>
    <row r="376" spans="1:10" ht="15.75">
      <c r="A376" s="32"/>
      <c r="B376" s="31"/>
      <c r="C376" s="42"/>
      <c r="D376" s="56"/>
      <c r="E376" s="19"/>
      <c r="F376" s="16"/>
      <c r="G376" s="16"/>
      <c r="H376" s="16"/>
      <c r="I376" s="22"/>
      <c r="J376" s="22"/>
    </row>
    <row r="377" spans="1:10" ht="15.75">
      <c r="A377" s="32"/>
      <c r="B377" s="31"/>
      <c r="C377" s="42"/>
      <c r="D377" s="56"/>
      <c r="E377" s="19"/>
      <c r="F377" s="16"/>
      <c r="G377" s="16"/>
      <c r="H377" s="16"/>
      <c r="I377" s="22"/>
      <c r="J377" s="22"/>
    </row>
    <row r="378" spans="1:10" ht="15.75">
      <c r="A378" s="32"/>
      <c r="B378" s="31"/>
      <c r="C378" s="42"/>
      <c r="D378" s="56"/>
      <c r="E378" s="19"/>
      <c r="F378" s="16"/>
      <c r="G378" s="16"/>
      <c r="H378" s="16"/>
      <c r="I378" s="22"/>
      <c r="J378" s="22"/>
    </row>
    <row r="379" spans="1:10" ht="15.75">
      <c r="A379" s="32"/>
      <c r="B379" s="31"/>
      <c r="C379" s="42"/>
      <c r="D379" s="56"/>
      <c r="E379" s="19"/>
      <c r="F379" s="16"/>
      <c r="G379" s="16"/>
      <c r="H379" s="16"/>
      <c r="I379" s="22"/>
      <c r="J379" s="22"/>
    </row>
    <row r="380" spans="1:10" ht="15.75">
      <c r="A380" s="32"/>
      <c r="B380" s="31"/>
      <c r="C380" s="42"/>
      <c r="D380" s="56"/>
      <c r="E380" s="19"/>
      <c r="F380" s="16"/>
      <c r="G380" s="16"/>
      <c r="H380" s="22"/>
      <c r="I380" s="22"/>
      <c r="J380" s="22"/>
    </row>
    <row r="381" spans="1:10" ht="15.75">
      <c r="A381" s="32"/>
      <c r="B381" s="31"/>
      <c r="C381" s="42"/>
      <c r="D381" s="56"/>
      <c r="E381" s="19"/>
      <c r="F381" s="16"/>
      <c r="G381" s="16"/>
      <c r="H381" s="22"/>
      <c r="I381" s="22"/>
      <c r="J381" s="22"/>
    </row>
    <row r="382" spans="1:10" ht="15.75">
      <c r="A382" s="32"/>
      <c r="B382" s="31"/>
      <c r="C382" s="42"/>
      <c r="D382" s="56"/>
      <c r="E382" s="19"/>
      <c r="F382" s="16"/>
      <c r="G382" s="16"/>
      <c r="H382" s="22"/>
      <c r="I382" s="22"/>
      <c r="J382" s="22"/>
    </row>
    <row r="383" spans="1:10" ht="15.75">
      <c r="A383" s="32"/>
      <c r="B383" s="31"/>
      <c r="C383" s="42"/>
      <c r="D383" s="56"/>
      <c r="E383" s="19"/>
      <c r="F383" s="16"/>
      <c r="G383" s="16"/>
      <c r="H383" s="22"/>
      <c r="I383" s="22"/>
      <c r="J383" s="22"/>
    </row>
    <row r="384" spans="1:10" ht="15.75">
      <c r="A384" s="32"/>
      <c r="B384" s="31"/>
      <c r="C384" s="42"/>
      <c r="D384" s="56"/>
      <c r="E384" s="19"/>
      <c r="F384" s="16"/>
      <c r="G384" s="16"/>
      <c r="H384" s="22"/>
      <c r="I384" s="22"/>
      <c r="J384" s="22"/>
    </row>
    <row r="385" spans="2:10" ht="15.75">
      <c r="B385" s="33"/>
      <c r="C385" s="42"/>
      <c r="D385" s="56"/>
      <c r="E385" s="19"/>
      <c r="F385" s="16"/>
      <c r="G385" s="16"/>
      <c r="H385" s="22"/>
      <c r="I385" s="22"/>
      <c r="J385" s="22"/>
    </row>
    <row r="386" spans="2:10" ht="15.75">
      <c r="B386" s="33"/>
      <c r="C386" s="42"/>
      <c r="D386" s="56"/>
      <c r="E386" s="19"/>
      <c r="F386" s="16"/>
      <c r="G386" s="16"/>
      <c r="H386" s="22"/>
      <c r="I386" s="22"/>
      <c r="J386" s="22"/>
    </row>
    <row r="387" spans="1:10" ht="15.75">
      <c r="A387" s="1"/>
      <c r="B387" s="33"/>
      <c r="C387" s="42"/>
      <c r="D387" s="56"/>
      <c r="E387" s="19"/>
      <c r="F387" s="16"/>
      <c r="G387" s="16"/>
      <c r="H387" s="22"/>
      <c r="I387" s="22"/>
      <c r="J387" s="22"/>
    </row>
    <row r="388" spans="1:10" ht="15.75">
      <c r="A388" s="1"/>
      <c r="B388" s="33"/>
      <c r="C388" s="42"/>
      <c r="D388" s="56"/>
      <c r="E388" s="19"/>
      <c r="F388" s="16"/>
      <c r="G388" s="16"/>
      <c r="H388" s="22"/>
      <c r="I388" s="22"/>
      <c r="J388" s="22"/>
    </row>
    <row r="389" spans="1:10" ht="15.75">
      <c r="A389" s="1"/>
      <c r="B389" s="33"/>
      <c r="C389" s="42"/>
      <c r="D389" s="56"/>
      <c r="E389" s="19"/>
      <c r="F389" s="16"/>
      <c r="G389" s="16"/>
      <c r="H389" s="22"/>
      <c r="I389" s="22"/>
      <c r="J389" s="22"/>
    </row>
    <row r="390" spans="1:10" ht="15.75">
      <c r="A390" s="1"/>
      <c r="B390" s="33"/>
      <c r="C390" s="42"/>
      <c r="D390" s="56"/>
      <c r="E390" s="19"/>
      <c r="F390" s="16"/>
      <c r="G390" s="16"/>
      <c r="H390" s="22"/>
      <c r="I390" s="22"/>
      <c r="J390" s="22"/>
    </row>
    <row r="391" spans="1:10" ht="15.75">
      <c r="A391" s="1"/>
      <c r="B391" s="33"/>
      <c r="C391" s="42"/>
      <c r="D391" s="56"/>
      <c r="E391" s="19"/>
      <c r="F391" s="16"/>
      <c r="G391" s="16"/>
      <c r="H391" s="22"/>
      <c r="I391" s="22"/>
      <c r="J391" s="22"/>
    </row>
    <row r="392" spans="1:10" ht="15.75">
      <c r="A392" s="1"/>
      <c r="B392" s="33"/>
      <c r="C392" s="42"/>
      <c r="D392" s="56"/>
      <c r="E392" s="19"/>
      <c r="F392" s="16"/>
      <c r="G392" s="16"/>
      <c r="H392" s="22"/>
      <c r="I392" s="22"/>
      <c r="J392" s="22"/>
    </row>
    <row r="393" spans="1:10" ht="15.75">
      <c r="A393" s="1"/>
      <c r="B393" s="33"/>
      <c r="C393" s="42"/>
      <c r="D393" s="56"/>
      <c r="E393" s="19"/>
      <c r="F393" s="16"/>
      <c r="G393" s="16"/>
      <c r="H393" s="22"/>
      <c r="I393" s="22"/>
      <c r="J393" s="22"/>
    </row>
    <row r="394" spans="1:10" ht="15.75">
      <c r="A394" s="1"/>
      <c r="B394" s="33"/>
      <c r="C394" s="42"/>
      <c r="D394" s="56"/>
      <c r="E394" s="19"/>
      <c r="F394" s="16"/>
      <c r="G394" s="16"/>
      <c r="H394" s="22"/>
      <c r="I394" s="22"/>
      <c r="J394" s="22"/>
    </row>
    <row r="395" spans="1:10" ht="15.75">
      <c r="A395" s="1"/>
      <c r="B395" s="33"/>
      <c r="C395" s="42"/>
      <c r="D395" s="56"/>
      <c r="E395" s="19"/>
      <c r="F395" s="16"/>
      <c r="G395" s="16"/>
      <c r="H395" s="22"/>
      <c r="I395" s="22"/>
      <c r="J395" s="22"/>
    </row>
    <row r="396" spans="1:10" ht="15.75">
      <c r="A396" s="1"/>
      <c r="B396" s="33"/>
      <c r="C396" s="42"/>
      <c r="D396" s="56"/>
      <c r="E396" s="19"/>
      <c r="F396" s="16"/>
      <c r="G396" s="16"/>
      <c r="H396" s="22"/>
      <c r="I396" s="22"/>
      <c r="J396" s="22"/>
    </row>
    <row r="397" spans="1:10" ht="15.75">
      <c r="A397" s="1"/>
      <c r="B397" s="33"/>
      <c r="C397" s="42"/>
      <c r="D397" s="56"/>
      <c r="E397" s="19"/>
      <c r="F397" s="16"/>
      <c r="G397" s="16"/>
      <c r="H397" s="22"/>
      <c r="I397" s="22"/>
      <c r="J397" s="22"/>
    </row>
    <row r="398" spans="1:10" ht="15.75">
      <c r="A398" s="1"/>
      <c r="B398" s="33"/>
      <c r="C398" s="42"/>
      <c r="D398" s="56"/>
      <c r="E398" s="19"/>
      <c r="F398" s="16"/>
      <c r="G398" s="16"/>
      <c r="H398" s="22"/>
      <c r="I398" s="22"/>
      <c r="J398" s="22"/>
    </row>
    <row r="399" spans="1:10" ht="15.75">
      <c r="A399" s="1"/>
      <c r="B399" s="33"/>
      <c r="C399" s="42"/>
      <c r="D399" s="56"/>
      <c r="E399" s="19"/>
      <c r="F399" s="16"/>
      <c r="G399" s="16"/>
      <c r="H399" s="22"/>
      <c r="I399" s="22"/>
      <c r="J399" s="22"/>
    </row>
    <row r="400" spans="1:10" ht="15.75">
      <c r="A400" s="1"/>
      <c r="B400" s="33"/>
      <c r="C400" s="42"/>
      <c r="D400" s="56"/>
      <c r="E400" s="19"/>
      <c r="F400" s="16"/>
      <c r="G400" s="16"/>
      <c r="H400" s="22"/>
      <c r="I400" s="22"/>
      <c r="J400" s="22"/>
    </row>
    <row r="401" spans="1:10" ht="15.75">
      <c r="A401" s="1"/>
      <c r="B401" s="33"/>
      <c r="C401" s="42"/>
      <c r="D401" s="56"/>
      <c r="E401" s="19"/>
      <c r="F401" s="16"/>
      <c r="G401" s="16"/>
      <c r="H401" s="22"/>
      <c r="I401" s="22"/>
      <c r="J401" s="22"/>
    </row>
    <row r="402" spans="1:10" ht="15.75">
      <c r="A402" s="1"/>
      <c r="B402" s="33"/>
      <c r="C402" s="42"/>
      <c r="D402" s="56"/>
      <c r="E402" s="19"/>
      <c r="F402" s="16"/>
      <c r="G402" s="16"/>
      <c r="H402" s="22"/>
      <c r="I402" s="22"/>
      <c r="J402" s="22"/>
    </row>
    <row r="403" spans="1:10" ht="15.75">
      <c r="A403" s="1"/>
      <c r="B403" s="33"/>
      <c r="C403" s="42"/>
      <c r="D403" s="56"/>
      <c r="E403" s="19"/>
      <c r="F403" s="16"/>
      <c r="G403" s="16"/>
      <c r="H403" s="22"/>
      <c r="I403" s="22"/>
      <c r="J403" s="22"/>
    </row>
    <row r="404" spans="1:10" ht="15.75">
      <c r="A404" s="1"/>
      <c r="B404" s="33"/>
      <c r="C404" s="42"/>
      <c r="D404" s="56"/>
      <c r="E404" s="19"/>
      <c r="F404" s="16"/>
      <c r="G404" s="16"/>
      <c r="H404" s="22"/>
      <c r="I404" s="22"/>
      <c r="J404" s="22"/>
    </row>
    <row r="405" spans="1:10" ht="15.75">
      <c r="A405" s="1"/>
      <c r="B405" s="33"/>
      <c r="C405" s="42"/>
      <c r="D405" s="56"/>
      <c r="E405" s="19"/>
      <c r="F405" s="16"/>
      <c r="G405" s="16"/>
      <c r="H405" s="22"/>
      <c r="I405" s="22"/>
      <c r="J405" s="22"/>
    </row>
    <row r="406" spans="1:10" ht="15.75">
      <c r="A406" s="1"/>
      <c r="B406" s="33"/>
      <c r="C406" s="42"/>
      <c r="D406" s="56"/>
      <c r="E406" s="19"/>
      <c r="F406" s="16"/>
      <c r="G406" s="16"/>
      <c r="H406" s="22"/>
      <c r="I406" s="22"/>
      <c r="J406" s="22"/>
    </row>
    <row r="407" spans="1:10" ht="15.75">
      <c r="A407" s="1"/>
      <c r="B407" s="33"/>
      <c r="C407" s="42"/>
      <c r="D407" s="56"/>
      <c r="E407" s="19"/>
      <c r="F407" s="16"/>
      <c r="G407" s="16"/>
      <c r="H407" s="22"/>
      <c r="I407" s="22"/>
      <c r="J407" s="22"/>
    </row>
    <row r="408" spans="1:10" ht="15.75">
      <c r="A408" s="1"/>
      <c r="B408" s="33"/>
      <c r="C408" s="42"/>
      <c r="D408" s="56"/>
      <c r="E408" s="19"/>
      <c r="F408" s="16"/>
      <c r="G408" s="16"/>
      <c r="H408" s="22"/>
      <c r="I408" s="22"/>
      <c r="J408" s="22"/>
    </row>
    <row r="409" spans="1:10" ht="15.75">
      <c r="A409" s="1"/>
      <c r="B409" s="33"/>
      <c r="C409" s="42"/>
      <c r="D409" s="56"/>
      <c r="E409" s="19"/>
      <c r="F409" s="16"/>
      <c r="G409" s="16"/>
      <c r="H409" s="22"/>
      <c r="I409" s="22"/>
      <c r="J409" s="22"/>
    </row>
    <row r="410" spans="1:10" ht="15.75">
      <c r="A410" s="1"/>
      <c r="B410" s="33"/>
      <c r="C410" s="42"/>
      <c r="D410" s="56"/>
      <c r="E410" s="19"/>
      <c r="F410" s="16"/>
      <c r="G410" s="16"/>
      <c r="H410" s="22"/>
      <c r="I410" s="22"/>
      <c r="J410" s="22"/>
    </row>
    <row r="411" spans="1:10" ht="15.75">
      <c r="A411" s="1"/>
      <c r="B411" s="33"/>
      <c r="C411" s="42"/>
      <c r="D411" s="56"/>
      <c r="E411" s="19"/>
      <c r="F411" s="16"/>
      <c r="G411" s="16"/>
      <c r="H411" s="22"/>
      <c r="I411" s="22"/>
      <c r="J411" s="22"/>
    </row>
    <row r="412" spans="1:10" ht="15.75">
      <c r="A412" s="1"/>
      <c r="B412" s="33"/>
      <c r="C412" s="42"/>
      <c r="D412" s="56"/>
      <c r="E412" s="19"/>
      <c r="F412" s="16"/>
      <c r="G412" s="16"/>
      <c r="H412" s="22"/>
      <c r="I412" s="22"/>
      <c r="J412" s="22"/>
    </row>
    <row r="413" spans="1:10" ht="15.75">
      <c r="A413" s="1"/>
      <c r="B413" s="33"/>
      <c r="C413" s="42"/>
      <c r="D413" s="56"/>
      <c r="E413" s="19"/>
      <c r="F413" s="16"/>
      <c r="G413" s="16"/>
      <c r="H413" s="22"/>
      <c r="I413" s="22"/>
      <c r="J413" s="22"/>
    </row>
    <row r="414" spans="1:10" ht="15.75">
      <c r="A414" s="1"/>
      <c r="B414" s="33"/>
      <c r="C414" s="42"/>
      <c r="D414" s="56"/>
      <c r="E414" s="19"/>
      <c r="F414" s="16"/>
      <c r="G414" s="16"/>
      <c r="H414" s="22"/>
      <c r="I414" s="22"/>
      <c r="J414" s="22"/>
    </row>
    <row r="415" spans="1:10" ht="15.75">
      <c r="A415" s="1"/>
      <c r="B415" s="33"/>
      <c r="C415" s="42"/>
      <c r="D415" s="56"/>
      <c r="E415" s="19"/>
      <c r="F415" s="16"/>
      <c r="G415" s="16"/>
      <c r="H415" s="22"/>
      <c r="I415" s="22"/>
      <c r="J415" s="22"/>
    </row>
    <row r="416" spans="1:10" ht="15.75">
      <c r="A416" s="1"/>
      <c r="B416" s="33"/>
      <c r="C416" s="42"/>
      <c r="D416" s="56"/>
      <c r="E416" s="19"/>
      <c r="F416" s="16"/>
      <c r="G416" s="16"/>
      <c r="H416" s="22"/>
      <c r="I416" s="22"/>
      <c r="J416" s="22"/>
    </row>
    <row r="417" spans="1:10" ht="15.75">
      <c r="A417" s="1"/>
      <c r="B417" s="33"/>
      <c r="C417" s="42"/>
      <c r="D417" s="56"/>
      <c r="E417" s="19"/>
      <c r="F417" s="16"/>
      <c r="G417" s="16"/>
      <c r="H417" s="22"/>
      <c r="I417" s="22"/>
      <c r="J417" s="22"/>
    </row>
    <row r="418" spans="1:10" ht="15.75">
      <c r="A418" s="1"/>
      <c r="B418" s="33"/>
      <c r="C418" s="42"/>
      <c r="D418" s="56"/>
      <c r="E418" s="19"/>
      <c r="F418" s="16"/>
      <c r="G418" s="16"/>
      <c r="H418" s="22"/>
      <c r="I418" s="22"/>
      <c r="J418" s="22"/>
    </row>
    <row r="419" spans="1:10" ht="15.75">
      <c r="A419" s="1"/>
      <c r="B419" s="33"/>
      <c r="C419" s="42"/>
      <c r="D419" s="56"/>
      <c r="E419" s="19"/>
      <c r="F419" s="16"/>
      <c r="G419" s="16"/>
      <c r="H419" s="22"/>
      <c r="I419" s="22"/>
      <c r="J419" s="22"/>
    </row>
    <row r="420" spans="1:10" ht="15.75">
      <c r="A420" s="1"/>
      <c r="B420" s="33"/>
      <c r="C420" s="42"/>
      <c r="D420" s="56"/>
      <c r="E420" s="19"/>
      <c r="F420" s="16"/>
      <c r="G420" s="16"/>
      <c r="H420" s="22"/>
      <c r="I420" s="22"/>
      <c r="J420" s="22"/>
    </row>
    <row r="421" spans="1:10" ht="15.75">
      <c r="A421" s="1"/>
      <c r="B421" s="33"/>
      <c r="C421" s="42"/>
      <c r="D421" s="56"/>
      <c r="E421" s="19"/>
      <c r="F421" s="16"/>
      <c r="G421" s="16"/>
      <c r="H421" s="22"/>
      <c r="I421" s="22"/>
      <c r="J421" s="22"/>
    </row>
    <row r="422" spans="1:10" ht="15.75">
      <c r="A422" s="1"/>
      <c r="B422" s="33"/>
      <c r="C422" s="42"/>
      <c r="D422" s="56"/>
      <c r="E422" s="19"/>
      <c r="F422" s="16"/>
      <c r="G422" s="16"/>
      <c r="H422" s="22"/>
      <c r="I422" s="22"/>
      <c r="J422" s="22"/>
    </row>
    <row r="423" spans="1:10" ht="15.75">
      <c r="A423" s="1"/>
      <c r="B423" s="33"/>
      <c r="C423" s="42"/>
      <c r="D423" s="56"/>
      <c r="E423" s="19"/>
      <c r="F423" s="16"/>
      <c r="G423" s="16"/>
      <c r="H423" s="22"/>
      <c r="I423" s="22"/>
      <c r="J423" s="22"/>
    </row>
    <row r="424" spans="1:10" ht="15.75">
      <c r="A424" s="1"/>
      <c r="B424" s="33"/>
      <c r="C424" s="42"/>
      <c r="D424" s="56"/>
      <c r="E424" s="19"/>
      <c r="F424" s="16"/>
      <c r="G424" s="16"/>
      <c r="H424" s="22"/>
      <c r="I424" s="22"/>
      <c r="J424" s="22"/>
    </row>
    <row r="425" spans="1:10" ht="15.75">
      <c r="A425" s="1"/>
      <c r="B425" s="33"/>
      <c r="C425" s="42"/>
      <c r="D425" s="56"/>
      <c r="E425" s="19"/>
      <c r="F425" s="16"/>
      <c r="G425" s="16"/>
      <c r="H425" s="22"/>
      <c r="I425" s="22"/>
      <c r="J425" s="22"/>
    </row>
    <row r="426" spans="1:10" ht="15.75">
      <c r="A426" s="1"/>
      <c r="B426" s="33"/>
      <c r="C426" s="42"/>
      <c r="D426" s="56"/>
      <c r="E426" s="19"/>
      <c r="F426" s="16"/>
      <c r="G426" s="16"/>
      <c r="H426" s="22"/>
      <c r="I426" s="22"/>
      <c r="J426" s="22"/>
    </row>
    <row r="427" spans="1:10" ht="15.75">
      <c r="A427" s="1"/>
      <c r="B427" s="33"/>
      <c r="C427" s="42"/>
      <c r="D427" s="56"/>
      <c r="E427" s="19"/>
      <c r="F427" s="16"/>
      <c r="G427" s="16"/>
      <c r="H427" s="22"/>
      <c r="I427" s="22"/>
      <c r="J427" s="22"/>
    </row>
    <row r="428" spans="1:10" ht="15.75">
      <c r="A428" s="1"/>
      <c r="B428" s="33"/>
      <c r="C428" s="42"/>
      <c r="D428" s="56"/>
      <c r="E428" s="19"/>
      <c r="F428" s="16"/>
      <c r="G428" s="16"/>
      <c r="H428" s="22"/>
      <c r="I428" s="22"/>
      <c r="J428" s="22"/>
    </row>
    <row r="429" spans="1:10" ht="15.75">
      <c r="A429" s="1"/>
      <c r="B429" s="33"/>
      <c r="C429" s="42"/>
      <c r="D429" s="56"/>
      <c r="E429" s="19"/>
      <c r="F429" s="16"/>
      <c r="G429" s="16"/>
      <c r="H429" s="22"/>
      <c r="I429" s="22"/>
      <c r="J429" s="22"/>
    </row>
    <row r="430" spans="1:10" ht="15.75">
      <c r="A430" s="1"/>
      <c r="B430" s="33"/>
      <c r="C430" s="42"/>
      <c r="D430" s="56"/>
      <c r="E430" s="19"/>
      <c r="F430" s="16"/>
      <c r="G430" s="16"/>
      <c r="H430" s="22"/>
      <c r="I430" s="22"/>
      <c r="J430" s="22"/>
    </row>
    <row r="431" spans="1:10" ht="15.75">
      <c r="A431" s="1"/>
      <c r="B431" s="33"/>
      <c r="C431" s="42"/>
      <c r="D431" s="56"/>
      <c r="E431" s="19"/>
      <c r="F431" s="16"/>
      <c r="G431" s="16"/>
      <c r="H431" s="22"/>
      <c r="I431" s="22"/>
      <c r="J431" s="22"/>
    </row>
    <row r="432" spans="1:10" ht="15.75">
      <c r="A432" s="1"/>
      <c r="B432" s="33"/>
      <c r="C432" s="42"/>
      <c r="D432" s="56"/>
      <c r="E432" s="19"/>
      <c r="F432" s="16"/>
      <c r="G432" s="16"/>
      <c r="H432" s="22"/>
      <c r="I432" s="22"/>
      <c r="J432" s="22"/>
    </row>
    <row r="433" spans="1:10" ht="15.75">
      <c r="A433" s="1"/>
      <c r="B433" s="33"/>
      <c r="C433" s="42"/>
      <c r="D433" s="56"/>
      <c r="E433" s="19"/>
      <c r="F433" s="16"/>
      <c r="G433" s="16"/>
      <c r="H433" s="22"/>
      <c r="I433" s="22"/>
      <c r="J433" s="22"/>
    </row>
    <row r="434" spans="1:10" ht="15.75">
      <c r="A434" s="1"/>
      <c r="B434" s="33"/>
      <c r="C434" s="42"/>
      <c r="D434" s="56"/>
      <c r="E434" s="19"/>
      <c r="F434" s="16"/>
      <c r="G434" s="16"/>
      <c r="H434" s="22"/>
      <c r="I434" s="22"/>
      <c r="J434" s="22"/>
    </row>
    <row r="435" spans="1:10" ht="15.75">
      <c r="A435" s="1"/>
      <c r="B435" s="33"/>
      <c r="C435" s="42"/>
      <c r="D435" s="56"/>
      <c r="E435" s="19"/>
      <c r="F435" s="16"/>
      <c r="G435" s="16"/>
      <c r="H435" s="22"/>
      <c r="I435" s="22"/>
      <c r="J435" s="22"/>
    </row>
    <row r="436" spans="1:10" ht="15.75">
      <c r="A436" s="1"/>
      <c r="B436" s="33"/>
      <c r="C436" s="42"/>
      <c r="D436" s="57"/>
      <c r="E436" s="19"/>
      <c r="F436" s="16"/>
      <c r="G436" s="16"/>
      <c r="H436" s="22"/>
      <c r="I436" s="22"/>
      <c r="J436" s="22"/>
    </row>
    <row r="437" spans="1:10" ht="15.75">
      <c r="A437" s="1"/>
      <c r="B437" s="33"/>
      <c r="C437" s="42"/>
      <c r="D437" s="57"/>
      <c r="E437" s="19"/>
      <c r="F437" s="16"/>
      <c r="G437" s="16"/>
      <c r="H437" s="22"/>
      <c r="I437" s="22"/>
      <c r="J437" s="22"/>
    </row>
    <row r="438" spans="1:10" ht="15.75">
      <c r="A438" s="1"/>
      <c r="B438" s="33"/>
      <c r="C438" s="42"/>
      <c r="D438" s="57"/>
      <c r="E438" s="19"/>
      <c r="F438" s="16"/>
      <c r="G438" s="16"/>
      <c r="H438" s="22"/>
      <c r="I438" s="22"/>
      <c r="J438" s="22"/>
    </row>
    <row r="439" spans="1:10" ht="15.75">
      <c r="A439" s="1"/>
      <c r="B439" s="33"/>
      <c r="C439" s="42"/>
      <c r="D439" s="57"/>
      <c r="E439" s="19"/>
      <c r="F439" s="16"/>
      <c r="G439" s="16"/>
      <c r="H439" s="22"/>
      <c r="I439" s="22"/>
      <c r="J439" s="22"/>
    </row>
    <row r="440" spans="1:10" ht="15.75">
      <c r="A440" s="1"/>
      <c r="B440" s="33"/>
      <c r="C440" s="42"/>
      <c r="D440" s="57"/>
      <c r="E440" s="19"/>
      <c r="F440" s="16"/>
      <c r="G440" s="16"/>
      <c r="H440" s="22"/>
      <c r="I440" s="22"/>
      <c r="J440" s="22"/>
    </row>
    <row r="441" spans="1:10" ht="15.75">
      <c r="A441" s="1"/>
      <c r="B441" s="33"/>
      <c r="C441" s="42"/>
      <c r="D441" s="57"/>
      <c r="E441" s="19"/>
      <c r="F441" s="16"/>
      <c r="G441" s="16"/>
      <c r="H441" s="22"/>
      <c r="I441" s="22"/>
      <c r="J441" s="22"/>
    </row>
    <row r="442" spans="1:10" ht="15.75">
      <c r="A442" s="1"/>
      <c r="B442" s="33"/>
      <c r="C442" s="42"/>
      <c r="D442" s="57"/>
      <c r="E442" s="19"/>
      <c r="F442" s="16"/>
      <c r="G442" s="16"/>
      <c r="H442" s="22"/>
      <c r="I442" s="22"/>
      <c r="J442" s="22"/>
    </row>
    <row r="443" spans="1:10" ht="15.75">
      <c r="A443" s="1"/>
      <c r="B443" s="33"/>
      <c r="C443" s="42"/>
      <c r="D443" s="57"/>
      <c r="E443" s="19"/>
      <c r="F443" s="16"/>
      <c r="G443" s="16"/>
      <c r="H443" s="22"/>
      <c r="I443" s="22"/>
      <c r="J443" s="22"/>
    </row>
    <row r="444" spans="1:10" ht="15.75">
      <c r="A444" s="1"/>
      <c r="B444" s="33"/>
      <c r="C444" s="42"/>
      <c r="D444" s="57"/>
      <c r="E444" s="19"/>
      <c r="F444" s="16"/>
      <c r="G444" s="16"/>
      <c r="H444" s="22"/>
      <c r="I444" s="22"/>
      <c r="J444" s="22"/>
    </row>
    <row r="445" spans="1:10" ht="15.75">
      <c r="A445" s="1"/>
      <c r="B445" s="33"/>
      <c r="C445" s="42"/>
      <c r="D445" s="57"/>
      <c r="E445" s="19"/>
      <c r="F445" s="16"/>
      <c r="G445" s="16"/>
      <c r="H445" s="22"/>
      <c r="I445" s="22"/>
      <c r="J445" s="22"/>
    </row>
    <row r="446" spans="1:10" ht="15.75">
      <c r="A446" s="1"/>
      <c r="B446" s="33"/>
      <c r="C446" s="42"/>
      <c r="D446" s="57"/>
      <c r="E446" s="19"/>
      <c r="F446" s="16"/>
      <c r="G446" s="16"/>
      <c r="H446" s="22"/>
      <c r="I446" s="22"/>
      <c r="J446" s="22"/>
    </row>
    <row r="447" spans="1:10" ht="15.75">
      <c r="A447" s="1"/>
      <c r="B447" s="33"/>
      <c r="C447" s="42"/>
      <c r="D447" s="57"/>
      <c r="E447" s="19"/>
      <c r="F447" s="16"/>
      <c r="G447" s="16"/>
      <c r="H447" s="22"/>
      <c r="I447" s="22"/>
      <c r="J447" s="22"/>
    </row>
    <row r="448" spans="1:10" ht="15.75">
      <c r="A448" s="1"/>
      <c r="B448" s="33"/>
      <c r="C448" s="42"/>
      <c r="D448" s="57"/>
      <c r="E448" s="19"/>
      <c r="F448" s="16"/>
      <c r="G448" s="16"/>
      <c r="H448" s="22"/>
      <c r="I448" s="22"/>
      <c r="J448" s="22"/>
    </row>
    <row r="449" spans="1:10" ht="15.75">
      <c r="A449" s="1"/>
      <c r="B449" s="33"/>
      <c r="C449" s="42"/>
      <c r="D449" s="57"/>
      <c r="E449" s="19"/>
      <c r="F449" s="16"/>
      <c r="G449" s="16"/>
      <c r="H449" s="22"/>
      <c r="I449" s="22"/>
      <c r="J449" s="22"/>
    </row>
    <row r="450" spans="1:10" ht="15.75">
      <c r="A450" s="1"/>
      <c r="B450" s="33"/>
      <c r="C450" s="42"/>
      <c r="D450" s="57"/>
      <c r="E450" s="19"/>
      <c r="F450" s="16"/>
      <c r="G450" s="16"/>
      <c r="H450" s="22"/>
      <c r="I450" s="22"/>
      <c r="J450" s="22"/>
    </row>
    <row r="451" spans="1:10" ht="15.75">
      <c r="A451" s="1"/>
      <c r="B451" s="33"/>
      <c r="C451" s="42"/>
      <c r="D451" s="57"/>
      <c r="E451" s="19"/>
      <c r="F451" s="16"/>
      <c r="G451" s="16"/>
      <c r="H451" s="22"/>
      <c r="I451" s="22"/>
      <c r="J451" s="22"/>
    </row>
    <row r="452" spans="1:10" ht="15.75">
      <c r="A452" s="1"/>
      <c r="B452" s="33"/>
      <c r="C452" s="42"/>
      <c r="D452" s="57"/>
      <c r="E452" s="19"/>
      <c r="F452" s="16"/>
      <c r="G452" s="16"/>
      <c r="H452" s="22"/>
      <c r="I452" s="22"/>
      <c r="J452" s="22"/>
    </row>
    <row r="453" spans="1:10" ht="15.75">
      <c r="A453" s="1"/>
      <c r="B453" s="33"/>
      <c r="C453" s="42"/>
      <c r="D453" s="57"/>
      <c r="E453" s="19"/>
      <c r="F453" s="16"/>
      <c r="G453" s="16"/>
      <c r="H453" s="22"/>
      <c r="I453" s="22"/>
      <c r="J453" s="22"/>
    </row>
    <row r="454" spans="1:10" ht="15.75">
      <c r="A454" s="1"/>
      <c r="B454" s="33"/>
      <c r="C454" s="42"/>
      <c r="D454" s="57"/>
      <c r="E454" s="19"/>
      <c r="F454" s="16"/>
      <c r="G454" s="16"/>
      <c r="H454" s="22"/>
      <c r="I454" s="22"/>
      <c r="J454" s="22"/>
    </row>
    <row r="455" spans="1:10" ht="15.75">
      <c r="A455" s="1"/>
      <c r="B455" s="33"/>
      <c r="C455" s="42"/>
      <c r="D455" s="57"/>
      <c r="E455" s="19"/>
      <c r="F455" s="16"/>
      <c r="G455" s="16"/>
      <c r="H455" s="22"/>
      <c r="I455" s="22"/>
      <c r="J455" s="22"/>
    </row>
    <row r="456" spans="1:10" ht="15.75">
      <c r="A456" s="1"/>
      <c r="B456" s="33"/>
      <c r="C456" s="42"/>
      <c r="D456" s="57"/>
      <c r="E456" s="19"/>
      <c r="F456" s="16"/>
      <c r="G456" s="16"/>
      <c r="H456" s="22"/>
      <c r="I456" s="22"/>
      <c r="J456" s="22"/>
    </row>
    <row r="457" spans="1:10" ht="15.75">
      <c r="A457" s="1"/>
      <c r="B457" s="33"/>
      <c r="C457" s="42"/>
      <c r="D457" s="57"/>
      <c r="E457" s="19"/>
      <c r="F457" s="16"/>
      <c r="G457" s="16"/>
      <c r="H457" s="22"/>
      <c r="I457" s="22"/>
      <c r="J457" s="22"/>
    </row>
    <row r="458" spans="1:10" ht="15.75">
      <c r="A458" s="1"/>
      <c r="B458" s="33"/>
      <c r="C458" s="42"/>
      <c r="D458" s="57"/>
      <c r="E458" s="19"/>
      <c r="F458" s="16"/>
      <c r="G458" s="16"/>
      <c r="H458" s="22"/>
      <c r="I458" s="22"/>
      <c r="J458" s="22"/>
    </row>
    <row r="459" spans="1:10" ht="15.75">
      <c r="A459" s="1"/>
      <c r="B459" s="33"/>
      <c r="C459" s="42"/>
      <c r="D459" s="57"/>
      <c r="E459" s="19"/>
      <c r="F459" s="16"/>
      <c r="G459" s="16"/>
      <c r="H459" s="22"/>
      <c r="I459" s="22"/>
      <c r="J459" s="22"/>
    </row>
    <row r="460" spans="1:10" ht="15.75">
      <c r="A460" s="1"/>
      <c r="B460" s="33"/>
      <c r="C460" s="42"/>
      <c r="D460" s="57"/>
      <c r="E460" s="19"/>
      <c r="F460" s="16"/>
      <c r="G460" s="16"/>
      <c r="H460" s="22"/>
      <c r="I460" s="22"/>
      <c r="J460" s="22"/>
    </row>
    <row r="461" spans="1:10" ht="15.75">
      <c r="A461" s="1"/>
      <c r="B461" s="33"/>
      <c r="C461" s="42"/>
      <c r="D461" s="57"/>
      <c r="E461" s="19"/>
      <c r="F461" s="16"/>
      <c r="G461" s="16"/>
      <c r="H461" s="22"/>
      <c r="I461" s="22"/>
      <c r="J461" s="22"/>
    </row>
    <row r="462" spans="1:10" ht="15.75">
      <c r="A462" s="1"/>
      <c r="B462" s="33"/>
      <c r="C462" s="42"/>
      <c r="D462" s="57"/>
      <c r="E462" s="19"/>
      <c r="F462" s="16"/>
      <c r="G462" s="16"/>
      <c r="H462" s="22"/>
      <c r="I462" s="22"/>
      <c r="J462" s="22"/>
    </row>
    <row r="463" spans="1:10" ht="15.75">
      <c r="A463" s="1"/>
      <c r="B463" s="33"/>
      <c r="C463" s="42"/>
      <c r="D463" s="57"/>
      <c r="E463" s="19"/>
      <c r="F463" s="16"/>
      <c r="G463" s="16"/>
      <c r="H463" s="22"/>
      <c r="I463" s="22"/>
      <c r="J463" s="22"/>
    </row>
    <row r="464" spans="1:10" ht="15.75">
      <c r="A464" s="1"/>
      <c r="B464" s="33"/>
      <c r="C464" s="42"/>
      <c r="D464" s="57"/>
      <c r="E464" s="19"/>
      <c r="F464" s="16"/>
      <c r="G464" s="16"/>
      <c r="H464" s="22"/>
      <c r="I464" s="22"/>
      <c r="J464" s="22"/>
    </row>
    <row r="465" spans="1:10" ht="15.75">
      <c r="A465" s="1"/>
      <c r="B465" s="33"/>
      <c r="C465" s="42"/>
      <c r="D465" s="57"/>
      <c r="E465" s="19"/>
      <c r="F465" s="16"/>
      <c r="G465" s="16"/>
      <c r="H465" s="22"/>
      <c r="I465" s="22"/>
      <c r="J465" s="22"/>
    </row>
    <row r="466" spans="1:10" ht="15.75">
      <c r="A466" s="1"/>
      <c r="B466" s="33"/>
      <c r="C466" s="42"/>
      <c r="D466" s="57"/>
      <c r="E466" s="19"/>
      <c r="F466" s="16"/>
      <c r="G466" s="16"/>
      <c r="H466" s="22"/>
      <c r="I466" s="22"/>
      <c r="J466" s="22"/>
    </row>
    <row r="467" spans="1:10" ht="15.75">
      <c r="A467" s="1"/>
      <c r="B467" s="33"/>
      <c r="C467" s="42"/>
      <c r="D467" s="57"/>
      <c r="E467" s="19"/>
      <c r="F467" s="16"/>
      <c r="G467" s="16"/>
      <c r="H467" s="22"/>
      <c r="I467" s="22"/>
      <c r="J467" s="22"/>
    </row>
    <row r="468" spans="1:10" ht="15.75">
      <c r="A468" s="1"/>
      <c r="B468" s="33"/>
      <c r="C468" s="42"/>
      <c r="D468" s="57"/>
      <c r="E468" s="19"/>
      <c r="F468" s="16"/>
      <c r="G468" s="16"/>
      <c r="H468" s="22"/>
      <c r="I468" s="22"/>
      <c r="J468" s="22"/>
    </row>
    <row r="469" spans="1:10" ht="15.75">
      <c r="A469" s="1"/>
      <c r="B469" s="33"/>
      <c r="C469" s="42"/>
      <c r="D469" s="57"/>
      <c r="E469" s="19"/>
      <c r="F469" s="16"/>
      <c r="G469" s="16"/>
      <c r="H469" s="22"/>
      <c r="I469" s="22"/>
      <c r="J469" s="22"/>
    </row>
    <row r="470" spans="1:10" ht="15.75">
      <c r="A470" s="1"/>
      <c r="B470" s="33"/>
      <c r="C470" s="42"/>
      <c r="D470" s="57"/>
      <c r="E470" s="19"/>
      <c r="F470" s="16"/>
      <c r="G470" s="16"/>
      <c r="H470" s="22"/>
      <c r="I470" s="22"/>
      <c r="J470" s="22"/>
    </row>
    <row r="471" spans="1:10" ht="15.75">
      <c r="A471" s="1"/>
      <c r="B471" s="33"/>
      <c r="C471" s="42"/>
      <c r="D471" s="57"/>
      <c r="E471" s="19"/>
      <c r="F471" s="16"/>
      <c r="G471" s="16"/>
      <c r="H471" s="22"/>
      <c r="I471" s="22"/>
      <c r="J471" s="22"/>
    </row>
    <row r="472" spans="1:10" ht="15.75">
      <c r="A472" s="1"/>
      <c r="B472" s="33"/>
      <c r="C472" s="42"/>
      <c r="D472" s="57"/>
      <c r="E472" s="19"/>
      <c r="F472" s="16"/>
      <c r="G472" s="16"/>
      <c r="H472" s="22"/>
      <c r="I472" s="22"/>
      <c r="J472" s="22"/>
    </row>
    <row r="473" spans="1:10" ht="15.75">
      <c r="A473" s="1"/>
      <c r="B473" s="33"/>
      <c r="C473" s="42"/>
      <c r="D473" s="57"/>
      <c r="E473" s="19"/>
      <c r="F473" s="16"/>
      <c r="G473" s="16"/>
      <c r="H473" s="22"/>
      <c r="I473" s="22"/>
      <c r="J473" s="22"/>
    </row>
    <row r="474" spans="1:10" ht="15.75">
      <c r="A474" s="1"/>
      <c r="B474" s="33"/>
      <c r="C474" s="42"/>
      <c r="D474" s="57"/>
      <c r="E474" s="19"/>
      <c r="F474" s="16"/>
      <c r="G474" s="16"/>
      <c r="H474" s="22"/>
      <c r="I474" s="22"/>
      <c r="J474" s="22"/>
    </row>
    <row r="475" spans="1:10" ht="15.75">
      <c r="A475" s="1"/>
      <c r="B475" s="33"/>
      <c r="C475" s="42"/>
      <c r="D475" s="57"/>
      <c r="E475" s="19"/>
      <c r="F475" s="16"/>
      <c r="G475" s="16"/>
      <c r="H475" s="22"/>
      <c r="I475" s="22"/>
      <c r="J475" s="22"/>
    </row>
    <row r="476" spans="1:10" ht="15.75">
      <c r="A476" s="1"/>
      <c r="B476" s="33"/>
      <c r="C476" s="42"/>
      <c r="D476" s="57"/>
      <c r="E476" s="19"/>
      <c r="F476" s="16"/>
      <c r="G476" s="16"/>
      <c r="H476" s="22"/>
      <c r="I476" s="22"/>
      <c r="J476" s="22"/>
    </row>
    <row r="477" spans="1:10" ht="15.75">
      <c r="A477" s="1"/>
      <c r="B477" s="33"/>
      <c r="C477" s="42"/>
      <c r="D477" s="57"/>
      <c r="E477" s="19"/>
      <c r="F477" s="16"/>
      <c r="G477" s="16"/>
      <c r="H477" s="22"/>
      <c r="I477" s="22"/>
      <c r="J477" s="22"/>
    </row>
    <row r="478" spans="1:10" ht="15.75">
      <c r="A478" s="1"/>
      <c r="B478" s="33"/>
      <c r="C478" s="42"/>
      <c r="D478" s="57"/>
      <c r="E478" s="19"/>
      <c r="F478" s="16"/>
      <c r="G478" s="16"/>
      <c r="H478" s="22"/>
      <c r="I478" s="22"/>
      <c r="J478" s="22"/>
    </row>
    <row r="479" spans="1:10" ht="15.75">
      <c r="A479" s="1"/>
      <c r="B479" s="33"/>
      <c r="C479" s="42"/>
      <c r="D479" s="57"/>
      <c r="E479" s="19"/>
      <c r="F479" s="16"/>
      <c r="G479" s="16"/>
      <c r="H479" s="22"/>
      <c r="I479" s="22"/>
      <c r="J479" s="22"/>
    </row>
    <row r="480" spans="1:10" ht="15.75">
      <c r="A480" s="1"/>
      <c r="B480" s="33"/>
      <c r="C480" s="42"/>
      <c r="D480" s="57"/>
      <c r="E480" s="19"/>
      <c r="F480" s="16"/>
      <c r="G480" s="16"/>
      <c r="H480" s="22"/>
      <c r="I480" s="22"/>
      <c r="J480" s="22"/>
    </row>
    <row r="481" spans="1:10" ht="15.75">
      <c r="A481" s="1"/>
      <c r="B481" s="33"/>
      <c r="C481" s="42"/>
      <c r="D481" s="57"/>
      <c r="E481" s="19"/>
      <c r="F481" s="16"/>
      <c r="G481" s="16"/>
      <c r="H481" s="22"/>
      <c r="I481" s="22"/>
      <c r="J481" s="22"/>
    </row>
    <row r="482" spans="1:10" ht="15.75">
      <c r="A482" s="1"/>
      <c r="B482" s="33"/>
      <c r="C482" s="42"/>
      <c r="D482" s="57"/>
      <c r="E482" s="19"/>
      <c r="F482" s="16"/>
      <c r="G482" s="16"/>
      <c r="H482" s="22"/>
      <c r="I482" s="22"/>
      <c r="J482" s="22"/>
    </row>
    <row r="483" spans="1:10" ht="15.75">
      <c r="A483" s="1"/>
      <c r="B483" s="33"/>
      <c r="C483" s="42"/>
      <c r="D483" s="57"/>
      <c r="E483" s="19"/>
      <c r="F483" s="16"/>
      <c r="G483" s="16"/>
      <c r="H483" s="22"/>
      <c r="I483" s="22"/>
      <c r="J483" s="22"/>
    </row>
    <row r="484" spans="1:10" ht="15.75">
      <c r="A484" s="1"/>
      <c r="B484" s="33"/>
      <c r="C484" s="42"/>
      <c r="D484" s="57"/>
      <c r="E484" s="19"/>
      <c r="F484" s="16"/>
      <c r="G484" s="16"/>
      <c r="H484" s="22"/>
      <c r="I484" s="22"/>
      <c r="J484" s="22"/>
    </row>
    <row r="485" spans="1:10" ht="15.75">
      <c r="A485" s="1"/>
      <c r="B485" s="33"/>
      <c r="C485" s="42"/>
      <c r="D485" s="57"/>
      <c r="E485" s="19"/>
      <c r="F485" s="16"/>
      <c r="G485" s="16"/>
      <c r="H485" s="22"/>
      <c r="I485" s="22"/>
      <c r="J485" s="22"/>
    </row>
    <row r="486" spans="1:10" ht="15.75">
      <c r="A486" s="1"/>
      <c r="B486" s="33"/>
      <c r="C486" s="42"/>
      <c r="D486" s="57"/>
      <c r="E486" s="19"/>
      <c r="F486" s="16"/>
      <c r="G486" s="16"/>
      <c r="H486" s="22"/>
      <c r="I486" s="22"/>
      <c r="J486" s="22"/>
    </row>
    <row r="487" spans="1:10" ht="15.75">
      <c r="A487" s="1"/>
      <c r="B487" s="33"/>
      <c r="C487" s="42"/>
      <c r="D487" s="57"/>
      <c r="E487" s="19"/>
      <c r="F487" s="16"/>
      <c r="G487" s="16"/>
      <c r="H487" s="22"/>
      <c r="I487" s="22"/>
      <c r="J487" s="22"/>
    </row>
    <row r="488" spans="1:10" ht="15.75">
      <c r="A488" s="1"/>
      <c r="B488" s="33"/>
      <c r="C488" s="42"/>
      <c r="D488" s="57"/>
      <c r="E488" s="19"/>
      <c r="F488" s="16"/>
      <c r="G488" s="16"/>
      <c r="H488" s="22"/>
      <c r="I488" s="22"/>
      <c r="J488" s="22"/>
    </row>
    <row r="489" spans="1:10" ht="15.75">
      <c r="A489" s="1"/>
      <c r="B489" s="33"/>
      <c r="C489" s="42"/>
      <c r="D489" s="57"/>
      <c r="E489" s="19"/>
      <c r="F489" s="16"/>
      <c r="G489" s="16"/>
      <c r="H489" s="22"/>
      <c r="I489" s="22"/>
      <c r="J489" s="22"/>
    </row>
    <row r="490" spans="1:10" ht="15.75">
      <c r="A490" s="1"/>
      <c r="B490" s="33"/>
      <c r="C490" s="42"/>
      <c r="D490" s="57"/>
      <c r="E490" s="19"/>
      <c r="F490" s="16"/>
      <c r="G490" s="16"/>
      <c r="H490" s="22"/>
      <c r="I490" s="22"/>
      <c r="J490" s="22"/>
    </row>
    <row r="491" spans="1:10" ht="15.75">
      <c r="A491" s="1"/>
      <c r="B491" s="33"/>
      <c r="C491" s="42"/>
      <c r="D491" s="57"/>
      <c r="E491" s="19"/>
      <c r="F491" s="16"/>
      <c r="G491" s="16"/>
      <c r="H491" s="22"/>
      <c r="I491" s="22"/>
      <c r="J491" s="22"/>
    </row>
    <row r="492" spans="1:10" ht="15.75">
      <c r="A492" s="1"/>
      <c r="B492" s="33"/>
      <c r="C492" s="42"/>
      <c r="D492" s="57"/>
      <c r="E492" s="19"/>
      <c r="F492" s="16"/>
      <c r="G492" s="16"/>
      <c r="H492" s="22"/>
      <c r="I492" s="22"/>
      <c r="J492" s="22"/>
    </row>
    <row r="493" spans="1:10" ht="15.75">
      <c r="A493" s="1"/>
      <c r="B493" s="33"/>
      <c r="C493" s="42"/>
      <c r="D493" s="57"/>
      <c r="E493" s="19"/>
      <c r="F493" s="16"/>
      <c r="G493" s="16"/>
      <c r="H493" s="22"/>
      <c r="I493" s="22"/>
      <c r="J493" s="22"/>
    </row>
    <row r="494" spans="1:10" ht="15.75">
      <c r="A494" s="1"/>
      <c r="B494" s="33"/>
      <c r="C494" s="42"/>
      <c r="D494" s="57"/>
      <c r="E494" s="19"/>
      <c r="F494" s="16"/>
      <c r="G494" s="16"/>
      <c r="H494" s="22"/>
      <c r="I494" s="22"/>
      <c r="J494" s="22"/>
    </row>
    <row r="495" spans="1:10" ht="15.75">
      <c r="A495" s="1"/>
      <c r="B495" s="33"/>
      <c r="C495" s="42"/>
      <c r="D495" s="57"/>
      <c r="E495" s="19"/>
      <c r="F495" s="16"/>
      <c r="G495" s="16"/>
      <c r="H495" s="22"/>
      <c r="I495" s="22"/>
      <c r="J495" s="22"/>
    </row>
    <row r="496" spans="1:10" ht="15.75">
      <c r="A496" s="1"/>
      <c r="B496" s="33"/>
      <c r="C496" s="42"/>
      <c r="D496" s="57"/>
      <c r="E496" s="19"/>
      <c r="F496" s="16"/>
      <c r="G496" s="16"/>
      <c r="H496" s="22"/>
      <c r="I496" s="22"/>
      <c r="J496" s="22"/>
    </row>
    <row r="497" spans="1:10" ht="15.75">
      <c r="A497" s="1"/>
      <c r="B497" s="33"/>
      <c r="C497" s="42"/>
      <c r="D497" s="57"/>
      <c r="E497" s="19"/>
      <c r="F497" s="16"/>
      <c r="G497" s="16"/>
      <c r="H497" s="22"/>
      <c r="I497" s="22"/>
      <c r="J497" s="22"/>
    </row>
    <row r="498" spans="1:10" ht="15.75">
      <c r="A498" s="1"/>
      <c r="B498" s="33"/>
      <c r="C498" s="42"/>
      <c r="D498" s="57"/>
      <c r="E498" s="19"/>
      <c r="F498" s="16"/>
      <c r="G498" s="16"/>
      <c r="H498" s="22"/>
      <c r="I498" s="22"/>
      <c r="J498" s="22"/>
    </row>
    <row r="499" spans="1:10" ht="15.75">
      <c r="A499" s="1"/>
      <c r="B499" s="33"/>
      <c r="C499" s="42"/>
      <c r="D499" s="57"/>
      <c r="E499" s="19"/>
      <c r="F499" s="16"/>
      <c r="G499" s="16"/>
      <c r="H499" s="22"/>
      <c r="I499" s="22"/>
      <c r="J499" s="22"/>
    </row>
    <row r="500" spans="1:10" ht="15.75">
      <c r="A500" s="1"/>
      <c r="B500" s="33"/>
      <c r="C500" s="42"/>
      <c r="D500" s="57"/>
      <c r="E500" s="19"/>
      <c r="F500" s="16"/>
      <c r="G500" s="16"/>
      <c r="H500" s="22"/>
      <c r="I500" s="22"/>
      <c r="J500" s="22"/>
    </row>
    <row r="501" spans="1:10" ht="15.75">
      <c r="A501" s="1"/>
      <c r="B501" s="33"/>
      <c r="C501" s="42"/>
      <c r="D501" s="57"/>
      <c r="E501" s="19"/>
      <c r="F501" s="16"/>
      <c r="G501" s="16"/>
      <c r="H501" s="22"/>
      <c r="I501" s="22"/>
      <c r="J501" s="22"/>
    </row>
    <row r="502" spans="1:10" ht="15.75">
      <c r="A502" s="1"/>
      <c r="B502" s="33"/>
      <c r="C502" s="42"/>
      <c r="D502" s="57"/>
      <c r="E502" s="19"/>
      <c r="F502" s="16"/>
      <c r="G502" s="16"/>
      <c r="H502" s="22"/>
      <c r="I502" s="22"/>
      <c r="J502" s="22"/>
    </row>
    <row r="503" spans="1:10" ht="15.75">
      <c r="A503" s="1"/>
      <c r="B503" s="33"/>
      <c r="C503" s="42"/>
      <c r="D503" s="57"/>
      <c r="E503" s="19"/>
      <c r="F503" s="16"/>
      <c r="G503" s="16"/>
      <c r="H503" s="22"/>
      <c r="I503" s="22"/>
      <c r="J503" s="22"/>
    </row>
    <row r="504" spans="1:10" ht="15.75">
      <c r="A504" s="1"/>
      <c r="B504" s="33"/>
      <c r="C504" s="42"/>
      <c r="D504" s="57"/>
      <c r="E504" s="19"/>
      <c r="F504" s="16"/>
      <c r="G504" s="16"/>
      <c r="H504" s="22"/>
      <c r="I504" s="22"/>
      <c r="J504" s="22"/>
    </row>
    <row r="505" spans="1:10" ht="15.75">
      <c r="A505" s="1"/>
      <c r="B505" s="33"/>
      <c r="C505" s="42"/>
      <c r="D505" s="57"/>
      <c r="E505" s="19"/>
      <c r="F505" s="16"/>
      <c r="G505" s="16"/>
      <c r="H505" s="22"/>
      <c r="I505" s="22"/>
      <c r="J505" s="22"/>
    </row>
    <row r="506" spans="1:10" ht="15.75">
      <c r="A506" s="1"/>
      <c r="B506" s="33"/>
      <c r="C506" s="42"/>
      <c r="D506" s="57"/>
      <c r="E506" s="19"/>
      <c r="F506" s="16"/>
      <c r="G506" s="16"/>
      <c r="H506" s="22"/>
      <c r="I506" s="22"/>
      <c r="J506" s="22"/>
    </row>
    <row r="507" spans="1:10" ht="15.75">
      <c r="A507" s="1"/>
      <c r="B507" s="33"/>
      <c r="C507" s="42"/>
      <c r="D507" s="57"/>
      <c r="E507" s="19"/>
      <c r="F507" s="16"/>
      <c r="G507" s="16"/>
      <c r="H507" s="22"/>
      <c r="I507" s="22"/>
      <c r="J507" s="22"/>
    </row>
    <row r="508" spans="1:10" ht="15.75">
      <c r="A508" s="1"/>
      <c r="B508" s="33"/>
      <c r="C508" s="42"/>
      <c r="D508" s="57"/>
      <c r="E508" s="19"/>
      <c r="F508" s="16"/>
      <c r="G508" s="16"/>
      <c r="H508" s="22"/>
      <c r="I508" s="22"/>
      <c r="J508" s="22"/>
    </row>
    <row r="509" spans="1:10" ht="15.75">
      <c r="A509" s="1"/>
      <c r="B509" s="33"/>
      <c r="C509" s="42"/>
      <c r="D509" s="57"/>
      <c r="E509" s="19"/>
      <c r="F509" s="16"/>
      <c r="G509" s="16"/>
      <c r="H509" s="22"/>
      <c r="I509" s="22"/>
      <c r="J509" s="22"/>
    </row>
    <row r="510" spans="1:10" ht="15.75">
      <c r="A510" s="1"/>
      <c r="B510" s="33"/>
      <c r="C510" s="42"/>
      <c r="D510" s="57"/>
      <c r="E510" s="19"/>
      <c r="F510" s="16"/>
      <c r="G510" s="16"/>
      <c r="H510" s="22"/>
      <c r="I510" s="22"/>
      <c r="J510" s="22"/>
    </row>
    <row r="511" spans="1:10" ht="15.75">
      <c r="A511" s="1"/>
      <c r="B511" s="33"/>
      <c r="C511" s="42"/>
      <c r="D511" s="57"/>
      <c r="E511" s="19"/>
      <c r="F511" s="16"/>
      <c r="G511" s="16"/>
      <c r="H511" s="22"/>
      <c r="I511" s="22"/>
      <c r="J511" s="22"/>
    </row>
    <row r="512" spans="1:10" ht="15.75">
      <c r="A512" s="1"/>
      <c r="B512" s="33"/>
      <c r="C512" s="42"/>
      <c r="D512" s="57"/>
      <c r="E512" s="19"/>
      <c r="F512" s="16"/>
      <c r="G512" s="16"/>
      <c r="H512" s="22"/>
      <c r="I512" s="22"/>
      <c r="J512" s="22"/>
    </row>
    <row r="513" spans="1:10" ht="15.75">
      <c r="A513" s="1"/>
      <c r="B513" s="33"/>
      <c r="C513" s="42"/>
      <c r="D513" s="57"/>
      <c r="E513" s="19"/>
      <c r="F513" s="16"/>
      <c r="G513" s="16"/>
      <c r="H513" s="22"/>
      <c r="I513" s="22"/>
      <c r="J513" s="22"/>
    </row>
    <row r="514" spans="1:10" ht="15.75">
      <c r="A514" s="1"/>
      <c r="B514" s="33"/>
      <c r="C514" s="42"/>
      <c r="D514" s="57"/>
      <c r="E514" s="19"/>
      <c r="F514" s="16"/>
      <c r="G514" s="16"/>
      <c r="H514" s="22"/>
      <c r="I514" s="22"/>
      <c r="J514" s="22"/>
    </row>
    <row r="515" spans="1:10" ht="15.75">
      <c r="A515" s="1"/>
      <c r="B515" s="33"/>
      <c r="C515" s="42"/>
      <c r="D515" s="57"/>
      <c r="E515" s="19"/>
      <c r="F515" s="16"/>
      <c r="G515" s="16"/>
      <c r="H515" s="22"/>
      <c r="I515" s="22"/>
      <c r="J515" s="22"/>
    </row>
    <row r="516" spans="1:10" ht="15.75">
      <c r="A516" s="1"/>
      <c r="B516" s="33"/>
      <c r="C516" s="42"/>
      <c r="D516" s="57"/>
      <c r="E516" s="19"/>
      <c r="F516" s="16"/>
      <c r="G516" s="16"/>
      <c r="H516" s="22"/>
      <c r="I516" s="22"/>
      <c r="J516" s="22"/>
    </row>
    <row r="517" spans="1:10" ht="15.75">
      <c r="A517" s="1"/>
      <c r="B517" s="33"/>
      <c r="C517" s="42"/>
      <c r="D517" s="57"/>
      <c r="E517" s="19"/>
      <c r="F517" s="16"/>
      <c r="G517" s="16"/>
      <c r="H517" s="22"/>
      <c r="I517" s="22"/>
      <c r="J517" s="22"/>
    </row>
    <row r="518" spans="1:10" ht="15.75">
      <c r="A518" s="1"/>
      <c r="B518" s="33"/>
      <c r="C518" s="42"/>
      <c r="D518" s="57"/>
      <c r="E518" s="19"/>
      <c r="F518" s="16"/>
      <c r="G518" s="16"/>
      <c r="H518" s="22"/>
      <c r="I518" s="22"/>
      <c r="J518" s="22"/>
    </row>
    <row r="519" spans="1:10" ht="15.75">
      <c r="A519" s="1"/>
      <c r="B519" s="33"/>
      <c r="C519" s="42"/>
      <c r="D519" s="57"/>
      <c r="E519" s="19"/>
      <c r="F519" s="16"/>
      <c r="G519" s="16"/>
      <c r="H519" s="22"/>
      <c r="I519" s="22"/>
      <c r="J519" s="22"/>
    </row>
    <row r="520" spans="1:10" ht="15.75">
      <c r="A520" s="1"/>
      <c r="B520" s="33"/>
      <c r="C520" s="42"/>
      <c r="D520" s="57"/>
      <c r="E520" s="19"/>
      <c r="F520" s="16"/>
      <c r="G520" s="16"/>
      <c r="H520" s="22"/>
      <c r="I520" s="22"/>
      <c r="J520" s="22"/>
    </row>
    <row r="521" spans="1:10" ht="15.75">
      <c r="A521" s="1"/>
      <c r="B521" s="33"/>
      <c r="C521" s="42"/>
      <c r="D521" s="57"/>
      <c r="E521" s="19"/>
      <c r="F521" s="16"/>
      <c r="G521" s="16"/>
      <c r="H521" s="22"/>
      <c r="I521" s="22"/>
      <c r="J521" s="22"/>
    </row>
    <row r="522" spans="1:10" ht="15.75">
      <c r="A522" s="1"/>
      <c r="B522" s="33"/>
      <c r="C522" s="42"/>
      <c r="D522" s="57"/>
      <c r="E522" s="19"/>
      <c r="F522" s="16"/>
      <c r="G522" s="16"/>
      <c r="H522" s="22"/>
      <c r="I522" s="22"/>
      <c r="J522" s="22"/>
    </row>
    <row r="523" spans="1:10" ht="15.75">
      <c r="A523" s="1"/>
      <c r="B523" s="33"/>
      <c r="C523" s="42"/>
      <c r="D523" s="57"/>
      <c r="E523" s="19"/>
      <c r="F523" s="16"/>
      <c r="G523" s="16"/>
      <c r="H523" s="22"/>
      <c r="I523" s="22"/>
      <c r="J523" s="22"/>
    </row>
    <row r="524" spans="1:10" ht="15.75">
      <c r="A524" s="1"/>
      <c r="B524" s="33"/>
      <c r="C524" s="42"/>
      <c r="D524" s="57"/>
      <c r="E524" s="19"/>
      <c r="F524" s="16"/>
      <c r="G524" s="16"/>
      <c r="H524" s="22"/>
      <c r="I524" s="22"/>
      <c r="J524" s="22"/>
    </row>
    <row r="525" spans="1:10" ht="15.75">
      <c r="A525" s="1"/>
      <c r="B525" s="33"/>
      <c r="C525" s="42"/>
      <c r="D525" s="57"/>
      <c r="E525" s="19"/>
      <c r="F525" s="16"/>
      <c r="G525" s="16"/>
      <c r="H525" s="22"/>
      <c r="I525" s="22"/>
      <c r="J525" s="22"/>
    </row>
    <row r="526" spans="1:10" ht="15.75">
      <c r="A526" s="1"/>
      <c r="B526" s="33"/>
      <c r="C526" s="42"/>
      <c r="D526" s="57"/>
      <c r="E526" s="19"/>
      <c r="F526" s="16"/>
      <c r="G526" s="16"/>
      <c r="H526" s="22"/>
      <c r="I526" s="22"/>
      <c r="J526" s="22"/>
    </row>
    <row r="527" spans="1:10" ht="15.75">
      <c r="A527" s="1"/>
      <c r="B527" s="33"/>
      <c r="C527" s="42"/>
      <c r="D527" s="57"/>
      <c r="E527" s="19"/>
      <c r="F527" s="16"/>
      <c r="G527" s="16"/>
      <c r="H527" s="22"/>
      <c r="I527" s="22"/>
      <c r="J527" s="22"/>
    </row>
    <row r="528" spans="1:10" ht="15.75">
      <c r="A528" s="1"/>
      <c r="B528" s="33"/>
      <c r="C528" s="42"/>
      <c r="D528" s="57"/>
      <c r="E528" s="19"/>
      <c r="F528" s="16"/>
      <c r="G528" s="16"/>
      <c r="H528" s="22"/>
      <c r="I528" s="22"/>
      <c r="J528" s="22"/>
    </row>
    <row r="529" spans="1:10" ht="15.75">
      <c r="A529" s="1"/>
      <c r="B529" s="33"/>
      <c r="C529" s="42"/>
      <c r="D529" s="57"/>
      <c r="E529" s="19"/>
      <c r="F529" s="16"/>
      <c r="G529" s="16"/>
      <c r="H529" s="22"/>
      <c r="I529" s="22"/>
      <c r="J529" s="22"/>
    </row>
    <row r="530" spans="1:10" ht="15.75">
      <c r="A530" s="1"/>
      <c r="B530" s="33"/>
      <c r="C530" s="42"/>
      <c r="D530" s="57"/>
      <c r="E530" s="19"/>
      <c r="F530" s="16"/>
      <c r="G530" s="16"/>
      <c r="H530" s="22"/>
      <c r="I530" s="22"/>
      <c r="J530" s="22"/>
    </row>
    <row r="531" spans="1:10" ht="15.75">
      <c r="A531" s="1"/>
      <c r="B531" s="33"/>
      <c r="C531" s="42"/>
      <c r="D531" s="57"/>
      <c r="E531" s="19"/>
      <c r="F531" s="16"/>
      <c r="G531" s="16"/>
      <c r="H531" s="22"/>
      <c r="I531" s="22"/>
      <c r="J531" s="22"/>
    </row>
    <row r="532" spans="1:10" ht="15.75">
      <c r="A532" s="1"/>
      <c r="B532" s="33"/>
      <c r="C532" s="42"/>
      <c r="D532" s="57"/>
      <c r="E532" s="19"/>
      <c r="F532" s="16"/>
      <c r="G532" s="16"/>
      <c r="H532" s="22"/>
      <c r="I532" s="22"/>
      <c r="J532" s="22"/>
    </row>
    <row r="533" spans="1:10" ht="15.75">
      <c r="A533" s="1"/>
      <c r="B533" s="33"/>
      <c r="C533" s="42"/>
      <c r="D533" s="57"/>
      <c r="E533" s="19"/>
      <c r="F533" s="16"/>
      <c r="G533" s="16"/>
      <c r="H533" s="22"/>
      <c r="I533" s="22"/>
      <c r="J533" s="22"/>
    </row>
    <row r="534" spans="1:10" ht="15.75">
      <c r="A534" s="1"/>
      <c r="B534" s="33"/>
      <c r="C534" s="42"/>
      <c r="D534" s="57"/>
      <c r="E534" s="19"/>
      <c r="F534" s="16"/>
      <c r="G534" s="16"/>
      <c r="H534" s="22"/>
      <c r="I534" s="22"/>
      <c r="J534" s="22"/>
    </row>
    <row r="535" spans="1:10" ht="15.75">
      <c r="A535" s="1"/>
      <c r="B535" s="33"/>
      <c r="C535" s="42"/>
      <c r="D535" s="57"/>
      <c r="E535" s="19"/>
      <c r="F535" s="16"/>
      <c r="G535" s="16"/>
      <c r="H535" s="22"/>
      <c r="I535" s="22"/>
      <c r="J535" s="22"/>
    </row>
    <row r="536" spans="1:10" ht="15.75">
      <c r="A536" s="1"/>
      <c r="B536" s="33"/>
      <c r="C536" s="42"/>
      <c r="D536" s="57"/>
      <c r="E536" s="19"/>
      <c r="F536" s="16"/>
      <c r="G536" s="16"/>
      <c r="H536" s="22"/>
      <c r="I536" s="22"/>
      <c r="J536" s="22"/>
    </row>
    <row r="537" spans="1:10" ht="15.75">
      <c r="A537" s="1"/>
      <c r="B537" s="33"/>
      <c r="C537" s="42"/>
      <c r="D537" s="57"/>
      <c r="E537" s="19"/>
      <c r="F537" s="16"/>
      <c r="G537" s="16"/>
      <c r="H537" s="22"/>
      <c r="I537" s="22"/>
      <c r="J537" s="22"/>
    </row>
    <row r="538" spans="1:10" ht="15.75">
      <c r="A538" s="1"/>
      <c r="B538" s="33"/>
      <c r="C538" s="42"/>
      <c r="D538" s="57"/>
      <c r="E538" s="19"/>
      <c r="F538" s="16"/>
      <c r="G538" s="16"/>
      <c r="H538" s="22"/>
      <c r="I538" s="22"/>
      <c r="J538" s="22"/>
    </row>
    <row r="539" spans="1:10" ht="15.75">
      <c r="A539" s="1"/>
      <c r="B539" s="33"/>
      <c r="C539" s="42"/>
      <c r="D539" s="57"/>
      <c r="E539" s="19"/>
      <c r="F539" s="16"/>
      <c r="G539" s="16"/>
      <c r="H539" s="22"/>
      <c r="I539" s="22"/>
      <c r="J539" s="22"/>
    </row>
    <row r="540" spans="1:10" ht="15.75">
      <c r="A540" s="1"/>
      <c r="B540" s="33"/>
      <c r="C540" s="42"/>
      <c r="D540" s="57"/>
      <c r="E540" s="19"/>
      <c r="F540" s="16"/>
      <c r="G540" s="16"/>
      <c r="H540" s="22"/>
      <c r="I540" s="22"/>
      <c r="J540" s="22"/>
    </row>
    <row r="541" spans="1:10" ht="15.75">
      <c r="A541" s="1"/>
      <c r="B541" s="33"/>
      <c r="C541" s="42"/>
      <c r="D541" s="57"/>
      <c r="E541" s="19"/>
      <c r="F541" s="16"/>
      <c r="G541" s="16"/>
      <c r="H541" s="22"/>
      <c r="I541" s="22"/>
      <c r="J541" s="22"/>
    </row>
    <row r="542" spans="1:10" ht="15.75">
      <c r="A542" s="1"/>
      <c r="B542" s="33"/>
      <c r="C542" s="42"/>
      <c r="D542" s="57"/>
      <c r="E542" s="19"/>
      <c r="F542" s="16"/>
      <c r="G542" s="16"/>
      <c r="H542" s="22"/>
      <c r="I542" s="22"/>
      <c r="J542" s="22"/>
    </row>
    <row r="543" spans="1:10" ht="15.75">
      <c r="A543" s="1"/>
      <c r="B543" s="33"/>
      <c r="C543" s="42"/>
      <c r="D543" s="57"/>
      <c r="E543" s="19"/>
      <c r="F543" s="16"/>
      <c r="G543" s="16"/>
      <c r="H543" s="22"/>
      <c r="I543" s="22"/>
      <c r="J543" s="22"/>
    </row>
    <row r="544" spans="1:10" ht="15.75">
      <c r="A544" s="1"/>
      <c r="B544" s="33"/>
      <c r="C544" s="42"/>
      <c r="D544" s="57"/>
      <c r="E544" s="19"/>
      <c r="F544" s="16"/>
      <c r="G544" s="16"/>
      <c r="H544" s="22"/>
      <c r="I544" s="22"/>
      <c r="J544" s="22"/>
    </row>
    <row r="545" spans="1:10" ht="15.75">
      <c r="A545" s="1"/>
      <c r="B545" s="33"/>
      <c r="C545" s="42"/>
      <c r="D545" s="57"/>
      <c r="E545" s="19"/>
      <c r="F545" s="16"/>
      <c r="G545" s="16"/>
      <c r="H545" s="22"/>
      <c r="I545" s="22"/>
      <c r="J545" s="22"/>
    </row>
    <row r="546" spans="1:10" ht="15.75">
      <c r="A546" s="1"/>
      <c r="B546" s="33"/>
      <c r="C546" s="42"/>
      <c r="D546" s="57"/>
      <c r="E546" s="19"/>
      <c r="F546" s="16"/>
      <c r="G546" s="16"/>
      <c r="H546" s="22"/>
      <c r="I546" s="22"/>
      <c r="J546" s="22"/>
    </row>
    <row r="547" spans="1:10" ht="15.75">
      <c r="A547" s="1"/>
      <c r="B547" s="33"/>
      <c r="C547" s="42"/>
      <c r="D547" s="57"/>
      <c r="E547" s="19"/>
      <c r="F547" s="16"/>
      <c r="G547" s="16"/>
      <c r="H547" s="22"/>
      <c r="I547" s="22"/>
      <c r="J547" s="22"/>
    </row>
    <row r="548" spans="1:10" ht="15.75">
      <c r="A548" s="1"/>
      <c r="B548" s="33"/>
      <c r="C548" s="42"/>
      <c r="D548" s="57"/>
      <c r="E548" s="19"/>
      <c r="F548" s="16"/>
      <c r="G548" s="16"/>
      <c r="H548" s="22"/>
      <c r="I548" s="22"/>
      <c r="J548" s="22"/>
    </row>
    <row r="549" spans="1:10" ht="15.75">
      <c r="A549" s="1"/>
      <c r="B549" s="33"/>
      <c r="C549" s="42"/>
      <c r="D549" s="57"/>
      <c r="E549" s="19"/>
      <c r="F549" s="16"/>
      <c r="G549" s="16"/>
      <c r="H549" s="22"/>
      <c r="I549" s="22"/>
      <c r="J549" s="22"/>
    </row>
    <row r="550" spans="1:10" ht="15.75">
      <c r="A550" s="1"/>
      <c r="B550" s="33"/>
      <c r="C550" s="42"/>
      <c r="D550" s="57"/>
      <c r="E550" s="19"/>
      <c r="F550" s="16"/>
      <c r="G550" s="16"/>
      <c r="H550" s="22"/>
      <c r="I550" s="22"/>
      <c r="J550" s="22"/>
    </row>
    <row r="551" spans="1:10" ht="15.75">
      <c r="A551" s="1"/>
      <c r="B551" s="33"/>
      <c r="C551" s="42"/>
      <c r="D551" s="57"/>
      <c r="E551" s="19"/>
      <c r="F551" s="16"/>
      <c r="G551" s="16"/>
      <c r="H551" s="22"/>
      <c r="I551" s="22"/>
      <c r="J551" s="22"/>
    </row>
    <row r="552" spans="1:10" ht="15.75">
      <c r="A552" s="1"/>
      <c r="B552" s="33"/>
      <c r="C552" s="42"/>
      <c r="D552" s="57"/>
      <c r="E552" s="19"/>
      <c r="F552" s="16"/>
      <c r="G552" s="16"/>
      <c r="H552" s="22"/>
      <c r="I552" s="22"/>
      <c r="J552" s="22"/>
    </row>
    <row r="553" spans="1:10" ht="15.75">
      <c r="A553" s="1"/>
      <c r="B553" s="33"/>
      <c r="C553" s="42"/>
      <c r="D553" s="57"/>
      <c r="E553" s="19"/>
      <c r="F553" s="16"/>
      <c r="G553" s="16"/>
      <c r="H553" s="22"/>
      <c r="I553" s="22"/>
      <c r="J553" s="22"/>
    </row>
    <row r="554" spans="1:10" ht="15.75">
      <c r="A554" s="1"/>
      <c r="B554" s="33"/>
      <c r="C554" s="42"/>
      <c r="D554" s="57"/>
      <c r="E554" s="19"/>
      <c r="F554" s="16"/>
      <c r="G554" s="16"/>
      <c r="H554" s="22"/>
      <c r="I554" s="22"/>
      <c r="J554" s="22"/>
    </row>
    <row r="555" spans="1:10" ht="15.75">
      <c r="A555" s="1"/>
      <c r="B555" s="33"/>
      <c r="C555" s="42"/>
      <c r="D555" s="57"/>
      <c r="E555" s="19"/>
      <c r="F555" s="16"/>
      <c r="G555" s="16"/>
      <c r="H555" s="22"/>
      <c r="I555" s="22"/>
      <c r="J555" s="22"/>
    </row>
    <row r="556" spans="1:10" ht="15.75">
      <c r="A556" s="1"/>
      <c r="B556" s="33"/>
      <c r="C556" s="42"/>
      <c r="D556" s="57"/>
      <c r="E556" s="19"/>
      <c r="F556" s="16"/>
      <c r="G556" s="16"/>
      <c r="H556" s="22"/>
      <c r="I556" s="22"/>
      <c r="J556" s="22"/>
    </row>
    <row r="557" spans="1:10" ht="15.75">
      <c r="A557" s="1"/>
      <c r="B557" s="33"/>
      <c r="C557" s="42"/>
      <c r="D557" s="57"/>
      <c r="E557" s="19"/>
      <c r="F557" s="16"/>
      <c r="G557" s="16"/>
      <c r="H557" s="22"/>
      <c r="I557" s="22"/>
      <c r="J557" s="22"/>
    </row>
    <row r="558" spans="1:10" ht="15.75">
      <c r="A558" s="1"/>
      <c r="B558" s="33"/>
      <c r="C558" s="42"/>
      <c r="D558" s="57"/>
      <c r="E558" s="19"/>
      <c r="F558" s="16"/>
      <c r="G558" s="16"/>
      <c r="H558" s="22"/>
      <c r="I558" s="22"/>
      <c r="J558" s="22"/>
    </row>
    <row r="559" spans="1:10" ht="15.75">
      <c r="A559" s="1"/>
      <c r="B559" s="33"/>
      <c r="C559" s="42"/>
      <c r="D559" s="57"/>
      <c r="E559" s="19"/>
      <c r="F559" s="16"/>
      <c r="G559" s="16"/>
      <c r="H559" s="22"/>
      <c r="I559" s="22"/>
      <c r="J559" s="22"/>
    </row>
    <row r="560" spans="1:10" ht="15.75">
      <c r="A560" s="1"/>
      <c r="B560" s="33"/>
      <c r="C560" s="42"/>
      <c r="D560" s="57"/>
      <c r="E560" s="19"/>
      <c r="F560" s="16"/>
      <c r="G560" s="16"/>
      <c r="H560" s="22"/>
      <c r="I560" s="22"/>
      <c r="J560" s="22"/>
    </row>
    <row r="561" spans="1:10" ht="15.75">
      <c r="A561" s="1"/>
      <c r="B561" s="33"/>
      <c r="C561" s="42"/>
      <c r="D561" s="57"/>
      <c r="E561" s="19"/>
      <c r="F561" s="16"/>
      <c r="G561" s="16"/>
      <c r="H561" s="22"/>
      <c r="I561" s="22"/>
      <c r="J561" s="22"/>
    </row>
    <row r="562" spans="1:10" ht="15.75">
      <c r="A562" s="1"/>
      <c r="B562" s="33"/>
      <c r="C562" s="42"/>
      <c r="D562" s="57"/>
      <c r="E562" s="19"/>
      <c r="F562" s="16"/>
      <c r="G562" s="16"/>
      <c r="H562" s="22"/>
      <c r="I562" s="22"/>
      <c r="J562" s="22"/>
    </row>
    <row r="563" spans="1:10" ht="15.75">
      <c r="A563" s="1"/>
      <c r="B563" s="33"/>
      <c r="C563" s="42"/>
      <c r="D563" s="57"/>
      <c r="E563" s="19"/>
      <c r="F563" s="16"/>
      <c r="G563" s="16"/>
      <c r="H563" s="22"/>
      <c r="I563" s="22"/>
      <c r="J563" s="22"/>
    </row>
    <row r="564" spans="1:10" ht="15.75">
      <c r="A564" s="1"/>
      <c r="B564" s="33"/>
      <c r="C564" s="42"/>
      <c r="D564" s="57"/>
      <c r="E564" s="19"/>
      <c r="F564" s="16"/>
      <c r="G564" s="16"/>
      <c r="H564" s="22"/>
      <c r="I564" s="22"/>
      <c r="J564" s="22"/>
    </row>
    <row r="565" spans="1:10" ht="15.75">
      <c r="A565" s="1"/>
      <c r="B565" s="33"/>
      <c r="C565" s="42"/>
      <c r="D565" s="57"/>
      <c r="E565" s="19"/>
      <c r="F565" s="16"/>
      <c r="G565" s="16"/>
      <c r="H565" s="22"/>
      <c r="I565" s="22"/>
      <c r="J565" s="22"/>
    </row>
  </sheetData>
  <sheetProtection/>
  <autoFilter ref="A4:M320"/>
  <mergeCells count="94">
    <mergeCell ref="I4:I5"/>
    <mergeCell ref="C4:C5"/>
    <mergeCell ref="D4:D5"/>
    <mergeCell ref="E4:E5"/>
    <mergeCell ref="F4:F5"/>
    <mergeCell ref="G4:G5"/>
    <mergeCell ref="H4:H5"/>
    <mergeCell ref="J4:J5"/>
    <mergeCell ref="K4:K5"/>
    <mergeCell ref="L4:L5"/>
    <mergeCell ref="M4:M5"/>
    <mergeCell ref="A1:M1"/>
    <mergeCell ref="A6:A18"/>
    <mergeCell ref="B6:B18"/>
    <mergeCell ref="A2:M2"/>
    <mergeCell ref="A4:A5"/>
    <mergeCell ref="B4:B5"/>
    <mergeCell ref="A19:A30"/>
    <mergeCell ref="B19:B30"/>
    <mergeCell ref="A31:A39"/>
    <mergeCell ref="B31:B39"/>
    <mergeCell ref="A40:A44"/>
    <mergeCell ref="B40:B44"/>
    <mergeCell ref="A45:A60"/>
    <mergeCell ref="B45:B60"/>
    <mergeCell ref="A61:A71"/>
    <mergeCell ref="B61:B71"/>
    <mergeCell ref="A72:A84"/>
    <mergeCell ref="B72:B84"/>
    <mergeCell ref="A85:A90"/>
    <mergeCell ref="B85:B90"/>
    <mergeCell ref="A91:A100"/>
    <mergeCell ref="B91:B100"/>
    <mergeCell ref="A101:A108"/>
    <mergeCell ref="B101:B108"/>
    <mergeCell ref="A109:A116"/>
    <mergeCell ref="B109:B116"/>
    <mergeCell ref="A117:A123"/>
    <mergeCell ref="B117:B123"/>
    <mergeCell ref="A124:A130"/>
    <mergeCell ref="B124:B130"/>
    <mergeCell ref="A131:A137"/>
    <mergeCell ref="B131:B137"/>
    <mergeCell ref="A138:A143"/>
    <mergeCell ref="B138:B143"/>
    <mergeCell ref="A144:A158"/>
    <mergeCell ref="B144:B158"/>
    <mergeCell ref="A159:A166"/>
    <mergeCell ref="B159:B166"/>
    <mergeCell ref="A167:A186"/>
    <mergeCell ref="B167:B186"/>
    <mergeCell ref="A207:A222"/>
    <mergeCell ref="B207:B222"/>
    <mergeCell ref="A223:A235"/>
    <mergeCell ref="B223:B235"/>
    <mergeCell ref="A187:A201"/>
    <mergeCell ref="B187:B201"/>
    <mergeCell ref="A202:A206"/>
    <mergeCell ref="B202:B206"/>
    <mergeCell ref="A236:A249"/>
    <mergeCell ref="B236:B249"/>
    <mergeCell ref="A250:A258"/>
    <mergeCell ref="B250:B258"/>
    <mergeCell ref="A259:A271"/>
    <mergeCell ref="B259:B271"/>
    <mergeCell ref="G326:G327"/>
    <mergeCell ref="H326:H327"/>
    <mergeCell ref="I326:I327"/>
    <mergeCell ref="A272:A275"/>
    <mergeCell ref="B272:B275"/>
    <mergeCell ref="A283:A287"/>
    <mergeCell ref="B283:B287"/>
    <mergeCell ref="B276:B282"/>
    <mergeCell ref="A276:A282"/>
    <mergeCell ref="D326:D327"/>
    <mergeCell ref="E326:E327"/>
    <mergeCell ref="F326:F327"/>
    <mergeCell ref="M326:M327"/>
    <mergeCell ref="A288:A298"/>
    <mergeCell ref="B288:B298"/>
    <mergeCell ref="A299:A318"/>
    <mergeCell ref="B299:B318"/>
    <mergeCell ref="A319:A320"/>
    <mergeCell ref="B319:B320"/>
    <mergeCell ref="J326:J327"/>
    <mergeCell ref="K326:K327"/>
    <mergeCell ref="L326:L327"/>
    <mergeCell ref="A328:A370"/>
    <mergeCell ref="B328:B370"/>
    <mergeCell ref="C319:C320"/>
    <mergeCell ref="A324:M324"/>
    <mergeCell ref="A326:A327"/>
    <mergeCell ref="B326:B327"/>
    <mergeCell ref="C326:C327"/>
  </mergeCells>
  <printOptions/>
  <pageMargins left="0.3937007874015748" right="0.2755905511811024" top="0.15748031496062992" bottom="0.15748031496062992" header="0.5118110236220472" footer="0.5118110236220472"/>
  <pageSetup fitToHeight="10" fitToWidth="1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2020-09-11T10:55:11Z</cp:lastPrinted>
  <dcterms:created xsi:type="dcterms:W3CDTF">2011-02-09T07:28:13Z</dcterms:created>
  <dcterms:modified xsi:type="dcterms:W3CDTF">2020-09-11T10:55:17Z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