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4880" windowHeight="7815" activeTab="0"/>
  </bookViews>
  <sheets>
    <sheet name="по ГАДБ" sheetId="1" r:id="rId1"/>
    <sheet name="по источникам" sheetId="2" r:id="rId2"/>
  </sheets>
  <definedNames>
    <definedName name="_xlnm.Print_Titles" localSheetId="0">'по ГАДБ'!$4:$5</definedName>
    <definedName name="_xlnm.Print_Area" localSheetId="0">'по ГАДБ'!$A$1:$M$508</definedName>
  </definedNames>
  <calcPr fullCalcOnLoad="1"/>
</workbook>
</file>

<file path=xl/sharedStrings.xml><?xml version="1.0" encoding="utf-8"?>
<sst xmlns="http://schemas.openxmlformats.org/spreadsheetml/2006/main" count="1968" uniqueCount="228">
  <si>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</si>
  <si>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</si>
  <si>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</si>
  <si>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</si>
  <si>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</si>
  <si>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</si>
  <si>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</si>
  <si>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</si>
  <si>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</si>
  <si>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</si>
  <si>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</si>
  <si>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</si>
  <si>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</si>
  <si>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</si>
  <si>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</si>
  <si>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</si>
  <si>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</si>
  <si>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</si>
  <si>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</si>
  <si>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</si>
  <si>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</si>
  <si>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</si>
  <si>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</si>
  <si>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</si>
  <si>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</si>
  <si>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</si>
  <si>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</si>
  <si>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</si>
  <si>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</si>
  <si>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</si>
  <si>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</si>
  <si>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</si>
  <si>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</si>
  <si>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</si>
  <si>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</si>
  <si>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</si>
  <si>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</si>
  <si>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</si>
  <si>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</si>
  <si>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</si>
  <si>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</si>
  <si>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</si>
  <si>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</si>
  <si>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</si>
  <si>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</si>
  <si>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</si>
  <si>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</si>
  <si>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</si>
  <si>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</si>
  <si>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</si>
  <si>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</si>
  <si>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</si>
  <si>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</si>
  <si>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</si>
  <si>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</si>
  <si>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</si>
  <si>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</si>
  <si>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</si>
  <si>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</si>
  <si>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</si>
  <si>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</si>
  <si>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</si>
  <si>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</si>
  <si>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</si>
  <si>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</si>
  <si>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</si>
  <si>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</si>
  <si>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</si>
  <si>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</si>
  <si>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</si>
  <si>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</si>
  <si>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</si>
  <si>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</si>
  <si>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</si>
  <si>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</si>
  <si>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</si>
  <si>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</si>
  <si>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</si>
  <si>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</si>
  <si>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</si>
  <si>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</si>
  <si>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</si>
  <si>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</si>
  <si>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</si>
  <si>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</si>
  <si>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</si>
  <si>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</si>
  <si>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</si>
  <si>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</si>
  <si>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</si>
  <si>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</si>
  <si>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</si>
  <si>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</si>
  <si>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</si>
  <si>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</si>
  <si>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</si>
  <si>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</si>
  <si>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</si>
  <si>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</si>
  <si>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</si>
  <si>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</si>
  <si>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</si>
  <si>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</si>
  <si>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</si>
  <si>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</si>
  <si>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</si>
  <si>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</si>
  <si>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</si>
  <si>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</si>
  <si>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</si>
  <si>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</si>
  <si>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</si>
  <si>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</si>
  <si>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</si>
  <si>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</si>
  <si>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</si>
  <si>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</si>
  <si>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</si>
  <si>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</si>
  <si>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</si>
  <si>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</si>
  <si>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</si>
  <si>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</si>
  <si>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</si>
  <si>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</si>
  <si>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</si>
  <si>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</si>
  <si>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</si>
  <si>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</si>
  <si>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</si>
  <si>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</si>
  <si>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</si>
  <si>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</si>
  <si>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</si>
  <si>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</si>
  <si>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</si>
  <si>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</si>
  <si>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</si>
  <si>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</si>
  <si>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</si>
  <si>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</si>
  <si>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</si>
  <si>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</si>
  <si>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</si>
  <si>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</si>
  <si>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</si>
  <si>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</si>
  <si>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</si>
  <si>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</si>
  <si>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</si>
  <si>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</si>
  <si>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</si>
  <si>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</si>
  <si>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</si>
  <si>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</si>
  <si>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</si>
  <si>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</si>
  <si>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</si>
  <si>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</si>
  <si>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</si>
  <si>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</si>
  <si>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</si>
  <si>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</si>
  <si>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</si>
  <si>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</si>
  <si>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</si>
  <si>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</si>
  <si>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</si>
  <si>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</si>
  <si>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</si>
  <si>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</si>
  <si>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</si>
  <si>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</si>
  <si>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</si>
  <si>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</si>
  <si>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</si>
  <si>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</si>
  <si>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</si>
  <si>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</si>
  <si>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</si>
  <si>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</si>
  <si>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</si>
  <si>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</si>
  <si>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</si>
  <si>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</si>
  <si>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</si>
  <si>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</si>
  <si>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</si>
  <si>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</si>
  <si>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</si>
  <si>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</si>
  <si>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</si>
  <si>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</si>
  <si>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</si>
  <si>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</si>
  <si>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</si>
  <si>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</si>
  <si>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</si>
  <si>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</si>
  <si>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</si>
  <si>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</si>
  <si>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</si>
  <si>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</si>
  <si>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</si>
  <si>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</si>
  <si>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</si>
  <si>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</si>
  <si>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</si>
  <si>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</si>
  <si>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</si>
  <si>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</si>
  <si>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</si>
  <si>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</si>
  <si>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</si>
  <si>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</si>
  <si>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Факт  на 01.08.2010 г. </t>
  </si>
  <si>
    <t>План января-июля 2011 года</t>
  </si>
  <si>
    <t xml:space="preserve">Факт с начала года на 01.08.2011г. </t>
  </si>
  <si>
    <t>Оперативный анализ  поступления доходов за январь-июль 2011 года</t>
  </si>
  <si>
    <t>% исполн. плана января-июля</t>
  </si>
  <si>
    <t>Отклонение факта отч.пер. от плана января-июля</t>
  </si>
  <si>
    <t>Оперативный анализ исполнения бюджета города Перми по доходам на 1 августа 2011 года</t>
  </si>
  <si>
    <t>Отклонение факта отч.пер. от плана января-июля 2011</t>
  </si>
  <si>
    <t>% исполн. плана января-июля 2011</t>
  </si>
  <si>
    <t>ВСЕГО ДОХОДОВ (без учета возврата  остатков МБТ)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</si>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</sst>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2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vertical="top" wrapText="1"/>
    </xf>
    <xf numFmtId="165" fontId="46" fillId="0" borderId="10" xfId="43" applyNumberFormat="1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5" fontId="3" fillId="6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wrapText="1"/>
    </xf>
    <xf numFmtId="49" fontId="46" fillId="0" borderId="15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164" fontId="3" fillId="6" borderId="10" xfId="0" applyNumberFormat="1" applyFont="1" applyFill="1" applyBorder="1" applyAlignment="1">
      <alignment wrapText="1"/>
    </xf>
    <xf numFmtId="4" fontId="3" fillId="7" borderId="10" xfId="0" applyNumberFormat="1" applyFont="1" applyFill="1" applyBorder="1" applyAlignment="1">
      <alignment wrapText="1"/>
    </xf>
    <xf numFmtId="165" fontId="3" fillId="7" borderId="10" xfId="43" applyNumberFormat="1" applyFont="1" applyFill="1" applyBorder="1" applyAlignment="1">
      <alignment horizontal="right" wrapText="1"/>
    </xf>
    <xf numFmtId="165" fontId="3" fillId="7" borderId="10" xfId="0" applyNumberFormat="1" applyFont="1" applyFill="1" applyBorder="1" applyAlignment="1">
      <alignment horizontal="right" wrapText="1"/>
    </xf>
    <xf numFmtId="164" fontId="3" fillId="7" borderId="1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2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3"/>
  <sheetViews>
    <sheetView tabSelected="1" view="pageBreakPreview" zoomScale="75" zoomScaleNormal="73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3" sqref="M3"/>
    </sheetView>
  </sheetViews>
  <sheetFormatPr defaultColWidth="15.25390625" defaultRowHeight="15.75"/>
  <cols>
    <col min="1" max="1" width="6.125" style="37" customWidth="1"/>
    <col min="2" max="2" width="17.00390625" style="38" customWidth="1"/>
    <col min="3" max="3" width="21.75390625" style="20" hidden="1" customWidth="1"/>
    <col min="4" max="4" width="55.25390625" style="65" customWidth="1"/>
    <col min="5" max="5" width="13.00390625" style="39" customWidth="1"/>
    <col min="6" max="6" width="14.625" style="39" customWidth="1"/>
    <col min="7" max="7" width="14.25390625" style="39" customWidth="1"/>
    <col min="8" max="8" width="13.50390625" style="39" customWidth="1"/>
    <col min="9" max="9" width="12.875" style="35" customWidth="1"/>
    <col min="10" max="10" width="12.25390625" style="35" customWidth="1"/>
    <col min="11" max="11" width="10.25390625" style="35" customWidth="1"/>
    <col min="12" max="12" width="13.00390625" style="35" customWidth="1"/>
    <col min="13" max="13" width="14.375" style="35" customWidth="1"/>
    <col min="14" max="16384" width="15.25390625" style="35" customWidth="1"/>
  </cols>
  <sheetData>
    <row r="1" spans="1:13" ht="18.75">
      <c r="A1" s="87" t="s">
        <v>205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33.75" customHeight="1">
      <c r="A2" s="88" t="s">
        <v>221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3" spans="4:13" ht="20.25" customHeight="1">
      <c r="D3" s="2"/>
      <c r="H3" s="40"/>
      <c r="K3" s="41"/>
      <c r="M3" s="86" t="s">
        <v>227</v>
      </c>
    </row>
    <row r="4" spans="1:13" ht="62.25" customHeight="1">
      <c r="A4" s="90" t="s">
        <v>1</v>
      </c>
      <c r="B4" s="91" t="s">
        <v>2</v>
      </c>
      <c r="C4" s="90" t="s">
        <v>3</v>
      </c>
      <c r="D4" s="91" t="s">
        <v>4</v>
      </c>
      <c r="E4" s="92" t="s">
        <v>215</v>
      </c>
      <c r="F4" s="94" t="s">
        <v>208</v>
      </c>
      <c r="G4" s="94" t="s">
        <v>216</v>
      </c>
      <c r="H4" s="94" t="s">
        <v>217</v>
      </c>
      <c r="I4" s="96" t="s">
        <v>222</v>
      </c>
      <c r="J4" s="91" t="s">
        <v>223</v>
      </c>
      <c r="K4" s="98" t="s">
        <v>5</v>
      </c>
      <c r="L4" s="96" t="s">
        <v>6</v>
      </c>
      <c r="M4" s="91" t="s">
        <v>7</v>
      </c>
    </row>
    <row r="5" spans="1:13" ht="37.5" customHeight="1">
      <c r="A5" s="90"/>
      <c r="B5" s="91"/>
      <c r="C5" s="90"/>
      <c r="D5" s="91"/>
      <c r="E5" s="93"/>
      <c r="F5" s="95"/>
      <c r="G5" s="95"/>
      <c r="H5" s="95"/>
      <c r="I5" s="97"/>
      <c r="J5" s="97"/>
      <c r="K5" s="99"/>
      <c r="L5" s="97"/>
      <c r="M5" s="97"/>
    </row>
    <row r="6" spans="1:13" ht="15.75">
      <c r="A6" s="100" t="s">
        <v>8</v>
      </c>
      <c r="B6" s="103" t="s">
        <v>9</v>
      </c>
      <c r="C6" s="21" t="s">
        <v>10</v>
      </c>
      <c r="D6" s="42" t="s">
        <v>11</v>
      </c>
      <c r="E6" s="33">
        <v>576.7</v>
      </c>
      <c r="F6" s="43">
        <v>433.9</v>
      </c>
      <c r="G6" s="44">
        <v>433.9</v>
      </c>
      <c r="H6" s="33">
        <v>842.7</v>
      </c>
      <c r="I6" s="33">
        <f>H6-G6</f>
        <v>408.80000000000007</v>
      </c>
      <c r="J6" s="33">
        <f>H6/G6*100</f>
        <v>194.21525697165248</v>
      </c>
      <c r="K6" s="33">
        <f>H6/F6*100</f>
        <v>194.21525697165248</v>
      </c>
      <c r="L6" s="33">
        <f>H6-E6</f>
        <v>266</v>
      </c>
      <c r="M6" s="33">
        <f>H6/E6*100</f>
        <v>146.12450147390322</v>
      </c>
    </row>
    <row r="7" spans="1:13" ht="63">
      <c r="A7" s="101"/>
      <c r="B7" s="101"/>
      <c r="C7" s="22" t="s">
        <v>12</v>
      </c>
      <c r="D7" s="45" t="s">
        <v>13</v>
      </c>
      <c r="E7" s="33">
        <v>3927</v>
      </c>
      <c r="F7" s="43"/>
      <c r="G7" s="44"/>
      <c r="H7" s="33">
        <v>33791</v>
      </c>
      <c r="I7" s="33">
        <f>H7-G7</f>
        <v>33791</v>
      </c>
      <c r="J7" s="33"/>
      <c r="K7" s="33"/>
      <c r="L7" s="33">
        <f>H7-E7</f>
        <v>29864</v>
      </c>
      <c r="M7" s="33">
        <f>H7/E7*100</f>
        <v>860.4787369493251</v>
      </c>
    </row>
    <row r="8" spans="1:13" ht="15.75">
      <c r="A8" s="101"/>
      <c r="B8" s="101"/>
      <c r="C8" s="23" t="s">
        <v>14</v>
      </c>
      <c r="D8" s="46" t="s">
        <v>15</v>
      </c>
      <c r="E8" s="33">
        <v>227096.8</v>
      </c>
      <c r="F8" s="33">
        <v>420216.8</v>
      </c>
      <c r="G8" s="33">
        <v>230108.8</v>
      </c>
      <c r="H8" s="33">
        <v>173038</v>
      </c>
      <c r="I8" s="33">
        <f>H8-G8</f>
        <v>-57070.79999999999</v>
      </c>
      <c r="J8" s="33">
        <f>H8/G8*100</f>
        <v>75.19834095871171</v>
      </c>
      <c r="K8" s="33">
        <f>H8/F8*100</f>
        <v>41.17826797976664</v>
      </c>
      <c r="L8" s="33">
        <f>H8-E8</f>
        <v>-54058.79999999999</v>
      </c>
      <c r="M8" s="33">
        <f>H8/E8*100</f>
        <v>76.19570156867029</v>
      </c>
    </row>
    <row r="9" spans="1:13" ht="31.5">
      <c r="A9" s="101"/>
      <c r="B9" s="101"/>
      <c r="C9" s="23" t="s">
        <v>16</v>
      </c>
      <c r="D9" s="34" t="s">
        <v>17</v>
      </c>
      <c r="E9" s="33">
        <v>3453.5</v>
      </c>
      <c r="F9" s="33">
        <v>3687</v>
      </c>
      <c r="G9" s="33">
        <v>3687</v>
      </c>
      <c r="H9" s="33">
        <v>3362.2</v>
      </c>
      <c r="I9" s="33">
        <f aca="true" t="shared" si="0" ref="I9:I72">H9-G9</f>
        <v>-324.8000000000002</v>
      </c>
      <c r="J9" s="33">
        <f aca="true" t="shared" si="1" ref="J9:J65">H9/G9*100</f>
        <v>91.19066992134526</v>
      </c>
      <c r="K9" s="33">
        <f aca="true" t="shared" si="2" ref="K9:K65">H9/F9*100</f>
        <v>91.19066992134526</v>
      </c>
      <c r="L9" s="33">
        <f aca="true" t="shared" si="3" ref="L9:L72">H9-E9</f>
        <v>-91.30000000000018</v>
      </c>
      <c r="M9" s="33">
        <f aca="true" t="shared" si="4" ref="M9:M72">H9/E9*100</f>
        <v>97.35630519762559</v>
      </c>
    </row>
    <row r="10" spans="1:13" ht="31.5">
      <c r="A10" s="101"/>
      <c r="B10" s="101"/>
      <c r="C10" s="23" t="s">
        <v>18</v>
      </c>
      <c r="D10" s="36" t="s">
        <v>19</v>
      </c>
      <c r="E10" s="33">
        <v>875.9</v>
      </c>
      <c r="F10" s="33"/>
      <c r="G10" s="33"/>
      <c r="H10" s="33">
        <v>1586.7</v>
      </c>
      <c r="I10" s="33">
        <f t="shared" si="0"/>
        <v>1586.7</v>
      </c>
      <c r="J10" s="33"/>
      <c r="K10" s="33"/>
      <c r="L10" s="33">
        <f t="shared" si="3"/>
        <v>710.8000000000001</v>
      </c>
      <c r="M10" s="33">
        <f t="shared" si="4"/>
        <v>181.15081630323098</v>
      </c>
    </row>
    <row r="11" spans="1:13" ht="31.5">
      <c r="A11" s="101"/>
      <c r="B11" s="101"/>
      <c r="C11" s="23" t="s">
        <v>20</v>
      </c>
      <c r="D11" s="47" t="s">
        <v>21</v>
      </c>
      <c r="E11" s="33">
        <v>61.2</v>
      </c>
      <c r="F11" s="33"/>
      <c r="G11" s="33"/>
      <c r="H11" s="33">
        <v>37.3</v>
      </c>
      <c r="I11" s="33">
        <f t="shared" si="0"/>
        <v>37.3</v>
      </c>
      <c r="J11" s="33"/>
      <c r="K11" s="33"/>
      <c r="L11" s="33">
        <f t="shared" si="3"/>
        <v>-23.900000000000006</v>
      </c>
      <c r="M11" s="33">
        <f t="shared" si="4"/>
        <v>60.94771241830065</v>
      </c>
    </row>
    <row r="12" spans="1:13" ht="94.5" hidden="1">
      <c r="A12" s="101"/>
      <c r="B12" s="101"/>
      <c r="C12" s="22" t="s">
        <v>22</v>
      </c>
      <c r="D12" s="48" t="s">
        <v>23</v>
      </c>
      <c r="E12" s="33"/>
      <c r="F12" s="33"/>
      <c r="G12" s="33"/>
      <c r="H12" s="33"/>
      <c r="I12" s="33">
        <f t="shared" si="0"/>
        <v>0</v>
      </c>
      <c r="J12" s="33"/>
      <c r="K12" s="33"/>
      <c r="L12" s="33">
        <f t="shared" si="3"/>
        <v>0</v>
      </c>
      <c r="M12" s="33"/>
    </row>
    <row r="13" spans="1:13" ht="47.25">
      <c r="A13" s="101"/>
      <c r="B13" s="101"/>
      <c r="C13" s="22" t="s">
        <v>24</v>
      </c>
      <c r="D13" s="36" t="s">
        <v>25</v>
      </c>
      <c r="E13" s="33">
        <v>132060</v>
      </c>
      <c r="F13" s="33">
        <v>1162983.4</v>
      </c>
      <c r="G13" s="33">
        <v>528827</v>
      </c>
      <c r="H13" s="33">
        <v>424318.2</v>
      </c>
      <c r="I13" s="33">
        <f t="shared" si="0"/>
        <v>-104508.79999999999</v>
      </c>
      <c r="J13" s="33">
        <f t="shared" si="1"/>
        <v>80.23762024253679</v>
      </c>
      <c r="K13" s="33">
        <f t="shared" si="2"/>
        <v>36.485318707042595</v>
      </c>
      <c r="L13" s="33">
        <f t="shared" si="3"/>
        <v>292258.2</v>
      </c>
      <c r="M13" s="33">
        <f t="shared" si="4"/>
        <v>321.30713312130854</v>
      </c>
    </row>
    <row r="14" spans="1:13" ht="47.25" hidden="1">
      <c r="A14" s="101"/>
      <c r="B14" s="101"/>
      <c r="C14" s="22" t="s">
        <v>26</v>
      </c>
      <c r="D14" s="36" t="s">
        <v>27</v>
      </c>
      <c r="E14" s="33"/>
      <c r="F14" s="33">
        <f>1709.2-1709.2</f>
        <v>0</v>
      </c>
      <c r="G14" s="33"/>
      <c r="H14" s="33"/>
      <c r="I14" s="33">
        <f t="shared" si="0"/>
        <v>0</v>
      </c>
      <c r="J14" s="33"/>
      <c r="K14" s="33"/>
      <c r="L14" s="33">
        <f t="shared" si="3"/>
        <v>0</v>
      </c>
      <c r="M14" s="33"/>
    </row>
    <row r="15" spans="1:13" ht="15.75">
      <c r="A15" s="101"/>
      <c r="B15" s="101"/>
      <c r="C15" s="23" t="s">
        <v>28</v>
      </c>
      <c r="D15" s="34" t="s">
        <v>29</v>
      </c>
      <c r="E15" s="33">
        <f>SUM(E16:E17)</f>
        <v>13</v>
      </c>
      <c r="F15" s="33">
        <f>SUM(F16:F17)</f>
        <v>0</v>
      </c>
      <c r="G15" s="33">
        <f>SUM(G16:G17)</f>
        <v>0</v>
      </c>
      <c r="H15" s="33">
        <f>SUM(H16:H17)</f>
        <v>104.6</v>
      </c>
      <c r="I15" s="33">
        <f t="shared" si="0"/>
        <v>104.6</v>
      </c>
      <c r="J15" s="33"/>
      <c r="K15" s="33"/>
      <c r="L15" s="33">
        <f t="shared" si="3"/>
        <v>91.6</v>
      </c>
      <c r="M15" s="33">
        <f t="shared" si="4"/>
        <v>804.6153846153846</v>
      </c>
    </row>
    <row r="16" spans="1:13" ht="63" hidden="1">
      <c r="A16" s="101"/>
      <c r="B16" s="101"/>
      <c r="C16" s="22" t="s">
        <v>30</v>
      </c>
      <c r="D16" s="49" t="s">
        <v>31</v>
      </c>
      <c r="E16" s="33"/>
      <c r="F16" s="33"/>
      <c r="G16" s="33"/>
      <c r="H16" s="33">
        <v>89.3</v>
      </c>
      <c r="I16" s="33">
        <f t="shared" si="0"/>
        <v>89.3</v>
      </c>
      <c r="J16" s="33" t="e">
        <f t="shared" si="1"/>
        <v>#DIV/0!</v>
      </c>
      <c r="K16" s="33" t="e">
        <f t="shared" si="2"/>
        <v>#DIV/0!</v>
      </c>
      <c r="L16" s="33">
        <f t="shared" si="3"/>
        <v>89.3</v>
      </c>
      <c r="M16" s="33" t="e">
        <f t="shared" si="4"/>
        <v>#DIV/0!</v>
      </c>
    </row>
    <row r="17" spans="1:13" ht="47.25" hidden="1">
      <c r="A17" s="101"/>
      <c r="B17" s="101"/>
      <c r="C17" s="22" t="s">
        <v>32</v>
      </c>
      <c r="D17" s="36" t="s">
        <v>33</v>
      </c>
      <c r="E17" s="33">
        <v>13</v>
      </c>
      <c r="F17" s="33"/>
      <c r="G17" s="33"/>
      <c r="H17" s="33">
        <v>15.3</v>
      </c>
      <c r="I17" s="33">
        <f t="shared" si="0"/>
        <v>15.3</v>
      </c>
      <c r="J17" s="33" t="e">
        <f t="shared" si="1"/>
        <v>#DIV/0!</v>
      </c>
      <c r="K17" s="33" t="e">
        <f t="shared" si="2"/>
        <v>#DIV/0!</v>
      </c>
      <c r="L17" s="33">
        <f t="shared" si="3"/>
        <v>2.3000000000000007</v>
      </c>
      <c r="M17" s="33">
        <f t="shared" si="4"/>
        <v>117.6923076923077</v>
      </c>
    </row>
    <row r="18" spans="1:13" ht="15.75">
      <c r="A18" s="101"/>
      <c r="B18" s="101"/>
      <c r="C18" s="23" t="s">
        <v>34</v>
      </c>
      <c r="D18" s="34" t="s">
        <v>35</v>
      </c>
      <c r="E18" s="33">
        <v>5.4</v>
      </c>
      <c r="F18" s="33"/>
      <c r="G18" s="33"/>
      <c r="H18" s="33">
        <v>-5108.4</v>
      </c>
      <c r="I18" s="33">
        <f t="shared" si="0"/>
        <v>-5108.4</v>
      </c>
      <c r="J18" s="33"/>
      <c r="K18" s="33"/>
      <c r="L18" s="33">
        <f t="shared" si="3"/>
        <v>-5113.799999999999</v>
      </c>
      <c r="M18" s="33">
        <f t="shared" si="4"/>
        <v>-94599.99999999999</v>
      </c>
    </row>
    <row r="19" spans="1:13" ht="15.75">
      <c r="A19" s="101"/>
      <c r="B19" s="101"/>
      <c r="C19" s="23" t="s">
        <v>36</v>
      </c>
      <c r="D19" s="34" t="s">
        <v>37</v>
      </c>
      <c r="E19" s="33">
        <v>409.4</v>
      </c>
      <c r="F19" s="33"/>
      <c r="G19" s="33"/>
      <c r="H19" s="33">
        <v>427.2</v>
      </c>
      <c r="I19" s="33">
        <f t="shared" si="0"/>
        <v>427.2</v>
      </c>
      <c r="J19" s="33"/>
      <c r="K19" s="33"/>
      <c r="L19" s="33">
        <f t="shared" si="3"/>
        <v>17.80000000000001</v>
      </c>
      <c r="M19" s="33">
        <f t="shared" si="4"/>
        <v>104.34782608695652</v>
      </c>
    </row>
    <row r="20" spans="1:13" ht="15.75">
      <c r="A20" s="101"/>
      <c r="B20" s="101"/>
      <c r="C20" s="23" t="s">
        <v>39</v>
      </c>
      <c r="D20" s="34" t="s">
        <v>40</v>
      </c>
      <c r="E20" s="33">
        <v>17973.8</v>
      </c>
      <c r="F20" s="33">
        <v>5030.2</v>
      </c>
      <c r="G20" s="33">
        <v>5030.2</v>
      </c>
      <c r="H20" s="33">
        <v>5030.2</v>
      </c>
      <c r="I20" s="33">
        <f t="shared" si="0"/>
        <v>0</v>
      </c>
      <c r="J20" s="33">
        <f t="shared" si="1"/>
        <v>100</v>
      </c>
      <c r="K20" s="33">
        <f t="shared" si="2"/>
        <v>100</v>
      </c>
      <c r="L20" s="33">
        <f t="shared" si="3"/>
        <v>-12943.599999999999</v>
      </c>
      <c r="M20" s="33">
        <f t="shared" si="4"/>
        <v>27.98629115712871</v>
      </c>
    </row>
    <row r="21" spans="1:13" ht="15.75">
      <c r="A21" s="101"/>
      <c r="B21" s="101"/>
      <c r="C21" s="23" t="s">
        <v>41</v>
      </c>
      <c r="D21" s="34" t="s">
        <v>42</v>
      </c>
      <c r="E21" s="33">
        <v>77.9</v>
      </c>
      <c r="F21" s="33"/>
      <c r="G21" s="33"/>
      <c r="H21" s="33"/>
      <c r="I21" s="33">
        <f t="shared" si="0"/>
        <v>0</v>
      </c>
      <c r="J21" s="33"/>
      <c r="K21" s="33"/>
      <c r="L21" s="33">
        <f t="shared" si="3"/>
        <v>-77.9</v>
      </c>
      <c r="M21" s="33">
        <f t="shared" si="4"/>
        <v>0</v>
      </c>
    </row>
    <row r="22" spans="1:13" ht="15.75" hidden="1">
      <c r="A22" s="101"/>
      <c r="B22" s="101"/>
      <c r="C22" s="23" t="s">
        <v>43</v>
      </c>
      <c r="D22" s="34" t="s">
        <v>38</v>
      </c>
      <c r="E22" s="33"/>
      <c r="F22" s="33"/>
      <c r="G22" s="33"/>
      <c r="H22" s="33"/>
      <c r="I22" s="33">
        <f t="shared" si="0"/>
        <v>0</v>
      </c>
      <c r="J22" s="33" t="e">
        <f t="shared" si="1"/>
        <v>#DIV/0!</v>
      </c>
      <c r="K22" s="33" t="e">
        <f t="shared" si="2"/>
        <v>#DIV/0!</v>
      </c>
      <c r="L22" s="33">
        <f t="shared" si="3"/>
        <v>0</v>
      </c>
      <c r="M22" s="33" t="e">
        <f t="shared" si="4"/>
        <v>#DIV/0!</v>
      </c>
    </row>
    <row r="23" spans="1:13" s="5" customFormat="1" ht="15.75">
      <c r="A23" s="101"/>
      <c r="B23" s="101"/>
      <c r="C23" s="24"/>
      <c r="D23" s="3" t="s">
        <v>44</v>
      </c>
      <c r="E23" s="4">
        <f>SUM(E6:E15,E18:E22)</f>
        <v>386530.60000000003</v>
      </c>
      <c r="F23" s="4">
        <f>SUM(F6:F15,F18:F22)</f>
        <v>1592351.2999999998</v>
      </c>
      <c r="G23" s="4">
        <f>SUM(G6:G15,G18:G22)</f>
        <v>768086.8999999999</v>
      </c>
      <c r="H23" s="4">
        <f>SUM(H6:H15,H18:H22)</f>
        <v>637429.7</v>
      </c>
      <c r="I23" s="4">
        <f t="shared" si="0"/>
        <v>-130657.19999999995</v>
      </c>
      <c r="J23" s="4">
        <f t="shared" si="1"/>
        <v>82.98926853198512</v>
      </c>
      <c r="K23" s="4">
        <f t="shared" si="2"/>
        <v>40.03072060794625</v>
      </c>
      <c r="L23" s="4">
        <f t="shared" si="3"/>
        <v>250899.09999999992</v>
      </c>
      <c r="M23" s="4">
        <f t="shared" si="4"/>
        <v>164.9105400710836</v>
      </c>
    </row>
    <row r="24" spans="1:13" ht="15.75">
      <c r="A24" s="101"/>
      <c r="B24" s="101"/>
      <c r="C24" s="23" t="s">
        <v>45</v>
      </c>
      <c r="D24" s="50" t="s">
        <v>46</v>
      </c>
      <c r="E24" s="33">
        <v>1524036.9</v>
      </c>
      <c r="F24" s="33">
        <v>2752050.4</v>
      </c>
      <c r="G24" s="33">
        <v>1676824.3</v>
      </c>
      <c r="H24" s="33">
        <f>1468201.6+13.2</f>
        <v>1468214.8</v>
      </c>
      <c r="I24" s="33">
        <f t="shared" si="0"/>
        <v>-208609.5</v>
      </c>
      <c r="J24" s="33">
        <f t="shared" si="1"/>
        <v>87.55925113919211</v>
      </c>
      <c r="K24" s="33">
        <f t="shared" si="2"/>
        <v>53.349851441674176</v>
      </c>
      <c r="L24" s="33">
        <f t="shared" si="3"/>
        <v>-55822.09999999986</v>
      </c>
      <c r="M24" s="33">
        <f t="shared" si="4"/>
        <v>96.33722123132321</v>
      </c>
    </row>
    <row r="25" spans="1:13" s="5" customFormat="1" ht="15.75">
      <c r="A25" s="101"/>
      <c r="B25" s="101"/>
      <c r="C25" s="24"/>
      <c r="D25" s="3" t="s">
        <v>47</v>
      </c>
      <c r="E25" s="4">
        <f>SUM(E24)</f>
        <v>1524036.9</v>
      </c>
      <c r="F25" s="4">
        <f>SUM(F24)</f>
        <v>2752050.4</v>
      </c>
      <c r="G25" s="4">
        <f>SUM(G24)</f>
        <v>1676824.3</v>
      </c>
      <c r="H25" s="4">
        <f>SUM(H24)</f>
        <v>1468214.8</v>
      </c>
      <c r="I25" s="4">
        <f t="shared" si="0"/>
        <v>-208609.5</v>
      </c>
      <c r="J25" s="4">
        <f t="shared" si="1"/>
        <v>87.55925113919211</v>
      </c>
      <c r="K25" s="4">
        <f t="shared" si="2"/>
        <v>53.349851441674176</v>
      </c>
      <c r="L25" s="4">
        <f t="shared" si="3"/>
        <v>-55822.09999999986</v>
      </c>
      <c r="M25" s="4">
        <f t="shared" si="4"/>
        <v>96.33722123132321</v>
      </c>
    </row>
    <row r="26" spans="1:13" s="5" customFormat="1" ht="31.5" hidden="1">
      <c r="A26" s="101"/>
      <c r="B26" s="101"/>
      <c r="C26" s="24"/>
      <c r="D26" s="3" t="s">
        <v>48</v>
      </c>
      <c r="E26" s="4">
        <f>E27-E22</f>
        <v>1910567.5</v>
      </c>
      <c r="F26" s="4">
        <f>F27-F22</f>
        <v>4344401.699999999</v>
      </c>
      <c r="G26" s="4">
        <f>G27-G22</f>
        <v>2444911.2</v>
      </c>
      <c r="H26" s="4">
        <f>H27-H22</f>
        <v>2105644.5</v>
      </c>
      <c r="I26" s="4">
        <f t="shared" si="0"/>
        <v>-339266.7000000002</v>
      </c>
      <c r="J26" s="4">
        <f t="shared" si="1"/>
        <v>86.12355737091801</v>
      </c>
      <c r="K26" s="4">
        <f t="shared" si="2"/>
        <v>48.46799733090981</v>
      </c>
      <c r="L26" s="4">
        <f t="shared" si="3"/>
        <v>195077</v>
      </c>
      <c r="M26" s="4">
        <f t="shared" si="4"/>
        <v>110.2104217725885</v>
      </c>
    </row>
    <row r="27" spans="1:13" s="5" customFormat="1" ht="15.75">
      <c r="A27" s="102"/>
      <c r="B27" s="102"/>
      <c r="C27" s="24"/>
      <c r="D27" s="3" t="s">
        <v>49</v>
      </c>
      <c r="E27" s="4">
        <f>E23+E25</f>
        <v>1910567.5</v>
      </c>
      <c r="F27" s="4">
        <f>F23+F25</f>
        <v>4344401.699999999</v>
      </c>
      <c r="G27" s="4">
        <f>G23+G25</f>
        <v>2444911.2</v>
      </c>
      <c r="H27" s="4">
        <f>H23+H25</f>
        <v>2105644.5</v>
      </c>
      <c r="I27" s="4">
        <f t="shared" si="0"/>
        <v>-339266.7000000002</v>
      </c>
      <c r="J27" s="4">
        <f t="shared" si="1"/>
        <v>86.12355737091801</v>
      </c>
      <c r="K27" s="4">
        <f t="shared" si="2"/>
        <v>48.46799733090981</v>
      </c>
      <c r="L27" s="4">
        <f t="shared" si="3"/>
        <v>195077</v>
      </c>
      <c r="M27" s="4">
        <f t="shared" si="4"/>
        <v>110.2104217725885</v>
      </c>
    </row>
    <row r="28" spans="1:13" ht="31.5">
      <c r="A28" s="100" t="s">
        <v>50</v>
      </c>
      <c r="B28" s="103" t="s">
        <v>51</v>
      </c>
      <c r="C28" s="23" t="s">
        <v>20</v>
      </c>
      <c r="D28" s="47" t="s">
        <v>21</v>
      </c>
      <c r="E28" s="33">
        <v>19252.6</v>
      </c>
      <c r="F28" s="33">
        <v>7800</v>
      </c>
      <c r="G28" s="33">
        <v>2060</v>
      </c>
      <c r="H28" s="33">
        <v>3349.7</v>
      </c>
      <c r="I28" s="33">
        <f t="shared" si="0"/>
        <v>1289.6999999999998</v>
      </c>
      <c r="J28" s="33">
        <f t="shared" si="1"/>
        <v>162.60679611650482</v>
      </c>
      <c r="K28" s="33">
        <f t="shared" si="2"/>
        <v>42.944871794871794</v>
      </c>
      <c r="L28" s="33">
        <f t="shared" si="3"/>
        <v>-15902.899999999998</v>
      </c>
      <c r="M28" s="33">
        <f t="shared" si="4"/>
        <v>17.39868900823785</v>
      </c>
    </row>
    <row r="29" spans="1:13" ht="31.5" hidden="1">
      <c r="A29" s="104"/>
      <c r="B29" s="106"/>
      <c r="C29" s="23" t="s">
        <v>18</v>
      </c>
      <c r="D29" s="36" t="s">
        <v>19</v>
      </c>
      <c r="E29" s="33"/>
      <c r="F29" s="33"/>
      <c r="G29" s="33"/>
      <c r="H29" s="33"/>
      <c r="I29" s="33">
        <f t="shared" si="0"/>
        <v>0</v>
      </c>
      <c r="J29" s="33" t="e">
        <f t="shared" si="1"/>
        <v>#DIV/0!</v>
      </c>
      <c r="K29" s="33" t="e">
        <f t="shared" si="2"/>
        <v>#DIV/0!</v>
      </c>
      <c r="L29" s="33">
        <f t="shared" si="3"/>
        <v>0</v>
      </c>
      <c r="M29" s="33" t="e">
        <f t="shared" si="4"/>
        <v>#DIV/0!</v>
      </c>
    </row>
    <row r="30" spans="1:13" ht="15.75">
      <c r="A30" s="104"/>
      <c r="B30" s="106"/>
      <c r="C30" s="23" t="s">
        <v>28</v>
      </c>
      <c r="D30" s="34" t="s">
        <v>29</v>
      </c>
      <c r="E30" s="33">
        <f>SUM(E31:E33)</f>
        <v>148.1</v>
      </c>
      <c r="F30" s="33">
        <f>SUM(F31:F33)</f>
        <v>0</v>
      </c>
      <c r="G30" s="33">
        <f>SUM(G31:G33)</f>
        <v>0</v>
      </c>
      <c r="H30" s="33">
        <f>SUM(H31:H33)</f>
        <v>5</v>
      </c>
      <c r="I30" s="33">
        <f t="shared" si="0"/>
        <v>5</v>
      </c>
      <c r="J30" s="33"/>
      <c r="K30" s="33"/>
      <c r="L30" s="33">
        <f t="shared" si="3"/>
        <v>-143.1</v>
      </c>
      <c r="M30" s="33">
        <f t="shared" si="4"/>
        <v>3.37609723160027</v>
      </c>
    </row>
    <row r="31" spans="1:13" ht="31.5" hidden="1">
      <c r="A31" s="104"/>
      <c r="B31" s="106"/>
      <c r="C31" s="22" t="s">
        <v>52</v>
      </c>
      <c r="D31" s="36" t="s">
        <v>53</v>
      </c>
      <c r="E31" s="33">
        <v>148.1</v>
      </c>
      <c r="F31" s="33"/>
      <c r="G31" s="33"/>
      <c r="H31" s="33"/>
      <c r="I31" s="33">
        <f t="shared" si="0"/>
        <v>0</v>
      </c>
      <c r="J31" s="33"/>
      <c r="K31" s="33"/>
      <c r="L31" s="33">
        <f t="shared" si="3"/>
        <v>-148.1</v>
      </c>
      <c r="M31" s="33">
        <f t="shared" si="4"/>
        <v>0</v>
      </c>
    </row>
    <row r="32" spans="1:13" ht="47.25" hidden="1">
      <c r="A32" s="104"/>
      <c r="B32" s="106"/>
      <c r="C32" s="22" t="s">
        <v>54</v>
      </c>
      <c r="D32" s="49" t="s">
        <v>55</v>
      </c>
      <c r="E32" s="33"/>
      <c r="F32" s="33"/>
      <c r="G32" s="33"/>
      <c r="H32" s="33"/>
      <c r="I32" s="33">
        <f t="shared" si="0"/>
        <v>0</v>
      </c>
      <c r="J32" s="33"/>
      <c r="K32" s="33"/>
      <c r="L32" s="33">
        <f t="shared" si="3"/>
        <v>0</v>
      </c>
      <c r="M32" s="33" t="e">
        <f t="shared" si="4"/>
        <v>#DIV/0!</v>
      </c>
    </row>
    <row r="33" spans="1:13" ht="47.25" hidden="1">
      <c r="A33" s="104"/>
      <c r="B33" s="106"/>
      <c r="C33" s="22" t="s">
        <v>32</v>
      </c>
      <c r="D33" s="36" t="s">
        <v>33</v>
      </c>
      <c r="E33" s="33"/>
      <c r="F33" s="33"/>
      <c r="G33" s="33"/>
      <c r="H33" s="33">
        <v>5</v>
      </c>
      <c r="I33" s="33">
        <f t="shared" si="0"/>
        <v>5</v>
      </c>
      <c r="J33" s="33"/>
      <c r="K33" s="33"/>
      <c r="L33" s="33">
        <f t="shared" si="3"/>
        <v>5</v>
      </c>
      <c r="M33" s="33" t="e">
        <f t="shared" si="4"/>
        <v>#DIV/0!</v>
      </c>
    </row>
    <row r="34" spans="1:13" ht="15.75">
      <c r="A34" s="104"/>
      <c r="B34" s="106"/>
      <c r="C34" s="23" t="s">
        <v>34</v>
      </c>
      <c r="D34" s="34" t="s">
        <v>35</v>
      </c>
      <c r="E34" s="33">
        <v>325.9</v>
      </c>
      <c r="F34" s="33"/>
      <c r="G34" s="33"/>
      <c r="H34" s="33">
        <v>343</v>
      </c>
      <c r="I34" s="33">
        <f t="shared" si="0"/>
        <v>343</v>
      </c>
      <c r="J34" s="33"/>
      <c r="K34" s="33"/>
      <c r="L34" s="33">
        <f t="shared" si="3"/>
        <v>17.100000000000023</v>
      </c>
      <c r="M34" s="33">
        <f t="shared" si="4"/>
        <v>105.24700828474994</v>
      </c>
    </row>
    <row r="35" spans="1:13" ht="15.75" hidden="1">
      <c r="A35" s="104"/>
      <c r="B35" s="106"/>
      <c r="C35" s="23" t="s">
        <v>36</v>
      </c>
      <c r="D35" s="34" t="s">
        <v>37</v>
      </c>
      <c r="E35" s="33"/>
      <c r="F35" s="33"/>
      <c r="G35" s="33"/>
      <c r="H35" s="33"/>
      <c r="I35" s="33">
        <f t="shared" si="0"/>
        <v>0</v>
      </c>
      <c r="J35" s="33" t="e">
        <f t="shared" si="1"/>
        <v>#DIV/0!</v>
      </c>
      <c r="K35" s="33" t="e">
        <f t="shared" si="2"/>
        <v>#DIV/0!</v>
      </c>
      <c r="L35" s="33">
        <f t="shared" si="3"/>
        <v>0</v>
      </c>
      <c r="M35" s="33" t="e">
        <f t="shared" si="4"/>
        <v>#DIV/0!</v>
      </c>
    </row>
    <row r="36" spans="1:13" ht="31.5" hidden="1">
      <c r="A36" s="104"/>
      <c r="B36" s="106"/>
      <c r="C36" s="23" t="s">
        <v>56</v>
      </c>
      <c r="D36" s="34" t="s">
        <v>57</v>
      </c>
      <c r="E36" s="33"/>
      <c r="F36" s="33"/>
      <c r="G36" s="33"/>
      <c r="H36" s="33"/>
      <c r="I36" s="33">
        <f t="shared" si="0"/>
        <v>0</v>
      </c>
      <c r="J36" s="33" t="e">
        <f t="shared" si="1"/>
        <v>#DIV/0!</v>
      </c>
      <c r="K36" s="33" t="e">
        <f t="shared" si="2"/>
        <v>#DIV/0!</v>
      </c>
      <c r="L36" s="33">
        <f t="shared" si="3"/>
        <v>0</v>
      </c>
      <c r="M36" s="33" t="e">
        <f t="shared" si="4"/>
        <v>#DIV/0!</v>
      </c>
    </row>
    <row r="37" spans="1:13" ht="15.75">
      <c r="A37" s="104"/>
      <c r="B37" s="106"/>
      <c r="C37" s="23" t="s">
        <v>39</v>
      </c>
      <c r="D37" s="34" t="s">
        <v>58</v>
      </c>
      <c r="E37" s="33"/>
      <c r="F37" s="33">
        <v>1197.2</v>
      </c>
      <c r="G37" s="33"/>
      <c r="H37" s="33"/>
      <c r="I37" s="33">
        <f t="shared" si="0"/>
        <v>0</v>
      </c>
      <c r="J37" s="33"/>
      <c r="K37" s="33">
        <f t="shared" si="2"/>
        <v>0</v>
      </c>
      <c r="L37" s="33">
        <f t="shared" si="3"/>
        <v>0</v>
      </c>
      <c r="M37" s="33"/>
    </row>
    <row r="38" spans="1:13" ht="15.75" hidden="1">
      <c r="A38" s="104"/>
      <c r="B38" s="106"/>
      <c r="C38" s="23" t="s">
        <v>41</v>
      </c>
      <c r="D38" s="34" t="s">
        <v>42</v>
      </c>
      <c r="E38" s="33"/>
      <c r="F38" s="33"/>
      <c r="G38" s="33"/>
      <c r="H38" s="33"/>
      <c r="I38" s="33">
        <f t="shared" si="0"/>
        <v>0</v>
      </c>
      <c r="J38" s="33" t="e">
        <f t="shared" si="1"/>
        <v>#DIV/0!</v>
      </c>
      <c r="K38" s="33" t="e">
        <f t="shared" si="2"/>
        <v>#DIV/0!</v>
      </c>
      <c r="L38" s="33">
        <f t="shared" si="3"/>
        <v>0</v>
      </c>
      <c r="M38" s="33" t="e">
        <f t="shared" si="4"/>
        <v>#DIV/0!</v>
      </c>
    </row>
    <row r="39" spans="1:13" ht="15.75" hidden="1">
      <c r="A39" s="104"/>
      <c r="B39" s="106"/>
      <c r="C39" s="23" t="s">
        <v>59</v>
      </c>
      <c r="D39" s="36" t="s">
        <v>60</v>
      </c>
      <c r="E39" s="33"/>
      <c r="F39" s="33"/>
      <c r="G39" s="33"/>
      <c r="H39" s="33"/>
      <c r="I39" s="33">
        <f t="shared" si="0"/>
        <v>0</v>
      </c>
      <c r="J39" s="33" t="e">
        <f t="shared" si="1"/>
        <v>#DIV/0!</v>
      </c>
      <c r="K39" s="33" t="e">
        <f t="shared" si="2"/>
        <v>#DIV/0!</v>
      </c>
      <c r="L39" s="33">
        <f t="shared" si="3"/>
        <v>0</v>
      </c>
      <c r="M39" s="33" t="e">
        <f t="shared" si="4"/>
        <v>#DIV/0!</v>
      </c>
    </row>
    <row r="40" spans="1:13" ht="15.75" hidden="1">
      <c r="A40" s="104"/>
      <c r="B40" s="106"/>
      <c r="C40" s="23" t="s">
        <v>43</v>
      </c>
      <c r="D40" s="34" t="s">
        <v>38</v>
      </c>
      <c r="E40" s="33"/>
      <c r="F40" s="33"/>
      <c r="G40" s="33"/>
      <c r="H40" s="33"/>
      <c r="I40" s="33">
        <f t="shared" si="0"/>
        <v>0</v>
      </c>
      <c r="J40" s="33" t="e">
        <f t="shared" si="1"/>
        <v>#DIV/0!</v>
      </c>
      <c r="K40" s="33" t="e">
        <f t="shared" si="2"/>
        <v>#DIV/0!</v>
      </c>
      <c r="L40" s="33">
        <f t="shared" si="3"/>
        <v>0</v>
      </c>
      <c r="M40" s="33" t="e">
        <f t="shared" si="4"/>
        <v>#DIV/0!</v>
      </c>
    </row>
    <row r="41" spans="1:13" s="5" customFormat="1" ht="15.75">
      <c r="A41" s="104"/>
      <c r="B41" s="106"/>
      <c r="C41" s="25"/>
      <c r="D41" s="3" t="s">
        <v>44</v>
      </c>
      <c r="E41" s="4">
        <f>SUM(E28:E30,E34:E40)</f>
        <v>19726.6</v>
      </c>
      <c r="F41" s="4">
        <f>SUM(F28:F30,F34:F40)</f>
        <v>8997.2</v>
      </c>
      <c r="G41" s="4">
        <f>SUM(G28:G30,G34:G40)</f>
        <v>2060</v>
      </c>
      <c r="H41" s="4">
        <f>SUM(H28:H30,H34:H40)</f>
        <v>3697.7</v>
      </c>
      <c r="I41" s="4">
        <f t="shared" si="0"/>
        <v>1637.6999999999998</v>
      </c>
      <c r="J41" s="4">
        <f t="shared" si="1"/>
        <v>179.5</v>
      </c>
      <c r="K41" s="4">
        <f t="shared" si="2"/>
        <v>41.098341706308624</v>
      </c>
      <c r="L41" s="4">
        <f t="shared" si="3"/>
        <v>-16028.899999999998</v>
      </c>
      <c r="M41" s="4">
        <f t="shared" si="4"/>
        <v>18.744740604057466</v>
      </c>
    </row>
    <row r="42" spans="1:13" s="5" customFormat="1" ht="47.25">
      <c r="A42" s="104"/>
      <c r="B42" s="106"/>
      <c r="C42" s="23" t="s">
        <v>212</v>
      </c>
      <c r="D42" s="51" t="s">
        <v>213</v>
      </c>
      <c r="E42" s="4"/>
      <c r="F42" s="4"/>
      <c r="G42" s="4"/>
      <c r="H42" s="33">
        <v>2.8</v>
      </c>
      <c r="I42" s="33">
        <f t="shared" si="0"/>
        <v>2.8</v>
      </c>
      <c r="J42" s="33"/>
      <c r="K42" s="33"/>
      <c r="L42" s="33">
        <f t="shared" si="3"/>
        <v>2.8</v>
      </c>
      <c r="M42" s="4"/>
    </row>
    <row r="43" spans="1:13" ht="110.25">
      <c r="A43" s="104"/>
      <c r="B43" s="106"/>
      <c r="C43" s="26" t="s">
        <v>61</v>
      </c>
      <c r="D43" s="51" t="s">
        <v>62</v>
      </c>
      <c r="E43" s="33">
        <v>571</v>
      </c>
      <c r="F43" s="33">
        <f>443+250</f>
        <v>693</v>
      </c>
      <c r="G43" s="33">
        <f>261.9+125</f>
        <v>386.9</v>
      </c>
      <c r="H43" s="33">
        <f>247.2+337.3</f>
        <v>584.5</v>
      </c>
      <c r="I43" s="33">
        <f t="shared" si="0"/>
        <v>197.60000000000002</v>
      </c>
      <c r="J43" s="33">
        <f t="shared" si="1"/>
        <v>151.072628586198</v>
      </c>
      <c r="K43" s="33">
        <f t="shared" si="2"/>
        <v>84.34343434343434</v>
      </c>
      <c r="L43" s="33">
        <f t="shared" si="3"/>
        <v>13.5</v>
      </c>
      <c r="M43" s="33">
        <f t="shared" si="4"/>
        <v>102.36427320490368</v>
      </c>
    </row>
    <row r="44" spans="1:13" ht="15.75">
      <c r="A44" s="104"/>
      <c r="B44" s="106"/>
      <c r="C44" s="23" t="s">
        <v>63</v>
      </c>
      <c r="D44" s="50" t="s">
        <v>64</v>
      </c>
      <c r="E44" s="52">
        <v>261.6</v>
      </c>
      <c r="F44" s="8"/>
      <c r="G44" s="8"/>
      <c r="H44" s="52">
        <f>3.7+7.1+155.1</f>
        <v>165.9</v>
      </c>
      <c r="I44" s="52">
        <f t="shared" si="0"/>
        <v>165.9</v>
      </c>
      <c r="J44" s="52"/>
      <c r="K44" s="52"/>
      <c r="L44" s="52">
        <f t="shared" si="3"/>
        <v>-95.70000000000002</v>
      </c>
      <c r="M44" s="52">
        <f t="shared" si="4"/>
        <v>63.417431192660544</v>
      </c>
    </row>
    <row r="45" spans="1:13" ht="15.75">
      <c r="A45" s="104"/>
      <c r="B45" s="106"/>
      <c r="C45" s="23" t="s">
        <v>28</v>
      </c>
      <c r="D45" s="34" t="s">
        <v>29</v>
      </c>
      <c r="E45" s="33">
        <f>SUM(E46:E46)</f>
        <v>0</v>
      </c>
      <c r="F45" s="33">
        <f>SUM(F46:F46)</f>
        <v>30</v>
      </c>
      <c r="G45" s="33">
        <f>SUM(G46:G46)</f>
        <v>30</v>
      </c>
      <c r="H45" s="33">
        <f>SUM(H46:H46)</f>
        <v>106</v>
      </c>
      <c r="I45" s="33">
        <f t="shared" si="0"/>
        <v>76</v>
      </c>
      <c r="J45" s="33">
        <f t="shared" si="1"/>
        <v>353.3333333333333</v>
      </c>
      <c r="K45" s="33">
        <f t="shared" si="2"/>
        <v>353.3333333333333</v>
      </c>
      <c r="L45" s="33">
        <f t="shared" si="3"/>
        <v>106</v>
      </c>
      <c r="M45" s="33"/>
    </row>
    <row r="46" spans="1:13" ht="63" hidden="1">
      <c r="A46" s="104"/>
      <c r="B46" s="106"/>
      <c r="C46" s="23" t="s">
        <v>65</v>
      </c>
      <c r="D46" s="49" t="s">
        <v>66</v>
      </c>
      <c r="E46" s="33"/>
      <c r="F46" s="33">
        <v>30</v>
      </c>
      <c r="G46" s="33">
        <v>30</v>
      </c>
      <c r="H46" s="33">
        <v>106</v>
      </c>
      <c r="I46" s="33">
        <f t="shared" si="0"/>
        <v>76</v>
      </c>
      <c r="J46" s="33">
        <f t="shared" si="1"/>
        <v>353.3333333333333</v>
      </c>
      <c r="K46" s="33">
        <f t="shared" si="2"/>
        <v>353.3333333333333</v>
      </c>
      <c r="L46" s="33">
        <f t="shared" si="3"/>
        <v>106</v>
      </c>
      <c r="M46" s="33" t="e">
        <f t="shared" si="4"/>
        <v>#DIV/0!</v>
      </c>
    </row>
    <row r="47" spans="1:13" ht="15.75" hidden="1">
      <c r="A47" s="104"/>
      <c r="B47" s="106"/>
      <c r="C47" s="23" t="s">
        <v>39</v>
      </c>
      <c r="D47" s="34" t="s">
        <v>40</v>
      </c>
      <c r="E47" s="33"/>
      <c r="F47" s="33"/>
      <c r="G47" s="33"/>
      <c r="H47" s="33"/>
      <c r="I47" s="33">
        <f t="shared" si="0"/>
        <v>0</v>
      </c>
      <c r="J47" s="33" t="e">
        <f t="shared" si="1"/>
        <v>#DIV/0!</v>
      </c>
      <c r="K47" s="33" t="e">
        <f t="shared" si="2"/>
        <v>#DIV/0!</v>
      </c>
      <c r="L47" s="33">
        <f t="shared" si="3"/>
        <v>0</v>
      </c>
      <c r="M47" s="33" t="e">
        <f t="shared" si="4"/>
        <v>#DIV/0!</v>
      </c>
    </row>
    <row r="48" spans="1:13" s="5" customFormat="1" ht="15.75">
      <c r="A48" s="104"/>
      <c r="B48" s="106"/>
      <c r="C48" s="25"/>
      <c r="D48" s="3" t="s">
        <v>47</v>
      </c>
      <c r="E48" s="8">
        <f>SUM(E42:E45,E47)</f>
        <v>832.6</v>
      </c>
      <c r="F48" s="8">
        <f>SUM(F42:F45,F47)</f>
        <v>723</v>
      </c>
      <c r="G48" s="8">
        <f>SUM(G42:G45,G47)</f>
        <v>416.9</v>
      </c>
      <c r="H48" s="8">
        <f>SUM(H42:H45,H47)</f>
        <v>859.1999999999999</v>
      </c>
      <c r="I48" s="8">
        <f t="shared" si="0"/>
        <v>442.29999999999995</v>
      </c>
      <c r="J48" s="8">
        <f t="shared" si="1"/>
        <v>206.09258815063563</v>
      </c>
      <c r="K48" s="8">
        <f t="shared" si="2"/>
        <v>118.83817427385893</v>
      </c>
      <c r="L48" s="8">
        <f t="shared" si="3"/>
        <v>26.59999999999991</v>
      </c>
      <c r="M48" s="8">
        <f t="shared" si="4"/>
        <v>103.19481143406198</v>
      </c>
    </row>
    <row r="49" spans="1:13" s="5" customFormat="1" ht="31.5" hidden="1">
      <c r="A49" s="104"/>
      <c r="B49" s="106"/>
      <c r="C49" s="25"/>
      <c r="D49" s="3" t="s">
        <v>48</v>
      </c>
      <c r="E49" s="8">
        <f>E50-E40</f>
        <v>20559.199999999997</v>
      </c>
      <c r="F49" s="8">
        <f>F50-F40</f>
        <v>9720.2</v>
      </c>
      <c r="G49" s="8">
        <f>G50-G40</f>
        <v>2476.9</v>
      </c>
      <c r="H49" s="8">
        <f>H50-H40</f>
        <v>4556.9</v>
      </c>
      <c r="I49" s="8">
        <f t="shared" si="0"/>
        <v>2079.9999999999995</v>
      </c>
      <c r="J49" s="8">
        <f t="shared" si="1"/>
        <v>183.97593766401548</v>
      </c>
      <c r="K49" s="8">
        <f t="shared" si="2"/>
        <v>46.88072261887615</v>
      </c>
      <c r="L49" s="8">
        <f t="shared" si="3"/>
        <v>-16002.299999999997</v>
      </c>
      <c r="M49" s="8">
        <f t="shared" si="4"/>
        <v>22.16477294836375</v>
      </c>
    </row>
    <row r="50" spans="1:13" s="5" customFormat="1" ht="15.75">
      <c r="A50" s="105"/>
      <c r="B50" s="107"/>
      <c r="C50" s="25"/>
      <c r="D50" s="3" t="s">
        <v>67</v>
      </c>
      <c r="E50" s="4">
        <f>E41+E48</f>
        <v>20559.199999999997</v>
      </c>
      <c r="F50" s="4">
        <f>F41+F48</f>
        <v>9720.2</v>
      </c>
      <c r="G50" s="4">
        <f>G41+G48</f>
        <v>2476.9</v>
      </c>
      <c r="H50" s="4">
        <f>H41+H48</f>
        <v>4556.9</v>
      </c>
      <c r="I50" s="4">
        <f t="shared" si="0"/>
        <v>2079.9999999999995</v>
      </c>
      <c r="J50" s="4">
        <f t="shared" si="1"/>
        <v>183.97593766401548</v>
      </c>
      <c r="K50" s="4">
        <f t="shared" si="2"/>
        <v>46.88072261887615</v>
      </c>
      <c r="L50" s="4">
        <f t="shared" si="3"/>
        <v>-16002.299999999997</v>
      </c>
      <c r="M50" s="4">
        <f t="shared" si="4"/>
        <v>22.16477294836375</v>
      </c>
    </row>
    <row r="51" spans="1:13" ht="63" hidden="1">
      <c r="A51" s="100" t="s">
        <v>68</v>
      </c>
      <c r="B51" s="103" t="s">
        <v>69</v>
      </c>
      <c r="C51" s="22" t="s">
        <v>12</v>
      </c>
      <c r="D51" s="45" t="s">
        <v>13</v>
      </c>
      <c r="E51" s="52"/>
      <c r="F51" s="33"/>
      <c r="G51" s="52"/>
      <c r="H51" s="52"/>
      <c r="I51" s="52">
        <f t="shared" si="0"/>
        <v>0</v>
      </c>
      <c r="J51" s="52" t="e">
        <f t="shared" si="1"/>
        <v>#DIV/0!</v>
      </c>
      <c r="K51" s="52" t="e">
        <f t="shared" si="2"/>
        <v>#DIV/0!</v>
      </c>
      <c r="L51" s="52">
        <f t="shared" si="3"/>
        <v>0</v>
      </c>
      <c r="M51" s="52" t="e">
        <f t="shared" si="4"/>
        <v>#DIV/0!</v>
      </c>
    </row>
    <row r="52" spans="1:13" ht="31.5">
      <c r="A52" s="104"/>
      <c r="B52" s="106"/>
      <c r="C52" s="23" t="s">
        <v>20</v>
      </c>
      <c r="D52" s="47" t="s">
        <v>21</v>
      </c>
      <c r="E52" s="52">
        <v>2644.9</v>
      </c>
      <c r="F52" s="52">
        <v>96</v>
      </c>
      <c r="G52" s="52">
        <v>51</v>
      </c>
      <c r="H52" s="52">
        <v>281</v>
      </c>
      <c r="I52" s="52">
        <f t="shared" si="0"/>
        <v>230</v>
      </c>
      <c r="J52" s="52">
        <f t="shared" si="1"/>
        <v>550.9803921568628</v>
      </c>
      <c r="K52" s="52">
        <f t="shared" si="2"/>
        <v>292.70833333333337</v>
      </c>
      <c r="L52" s="52">
        <f t="shared" si="3"/>
        <v>-2363.9</v>
      </c>
      <c r="M52" s="52">
        <f t="shared" si="4"/>
        <v>10.624220197360959</v>
      </c>
    </row>
    <row r="53" spans="1:13" ht="47.25">
      <c r="A53" s="104"/>
      <c r="B53" s="106"/>
      <c r="C53" s="22" t="s">
        <v>26</v>
      </c>
      <c r="D53" s="36" t="s">
        <v>27</v>
      </c>
      <c r="E53" s="52">
        <v>-0.3</v>
      </c>
      <c r="F53" s="52"/>
      <c r="G53" s="52"/>
      <c r="H53" s="52"/>
      <c r="I53" s="52">
        <f t="shared" si="0"/>
        <v>0</v>
      </c>
      <c r="J53" s="52"/>
      <c r="K53" s="52"/>
      <c r="L53" s="52">
        <f t="shared" si="3"/>
        <v>0.3</v>
      </c>
      <c r="M53" s="52">
        <f t="shared" si="4"/>
        <v>0</v>
      </c>
    </row>
    <row r="54" spans="1:13" ht="15.75">
      <c r="A54" s="104"/>
      <c r="B54" s="106"/>
      <c r="C54" s="23" t="s">
        <v>28</v>
      </c>
      <c r="D54" s="34" t="s">
        <v>29</v>
      </c>
      <c r="E54" s="33">
        <f>E55</f>
        <v>0</v>
      </c>
      <c r="F54" s="33">
        <f>F55</f>
        <v>0</v>
      </c>
      <c r="G54" s="33">
        <f>G55</f>
        <v>0</v>
      </c>
      <c r="H54" s="33">
        <f>H55</f>
        <v>217.8</v>
      </c>
      <c r="I54" s="33">
        <f t="shared" si="0"/>
        <v>217.8</v>
      </c>
      <c r="J54" s="33"/>
      <c r="K54" s="33"/>
      <c r="L54" s="33">
        <f t="shared" si="3"/>
        <v>217.8</v>
      </c>
      <c r="M54" s="33"/>
    </row>
    <row r="55" spans="1:13" ht="47.25" hidden="1">
      <c r="A55" s="104"/>
      <c r="B55" s="106"/>
      <c r="C55" s="22" t="s">
        <v>32</v>
      </c>
      <c r="D55" s="36" t="s">
        <v>33</v>
      </c>
      <c r="E55" s="33"/>
      <c r="F55" s="33"/>
      <c r="G55" s="33"/>
      <c r="H55" s="33">
        <v>217.8</v>
      </c>
      <c r="I55" s="33">
        <f t="shared" si="0"/>
        <v>217.8</v>
      </c>
      <c r="J55" s="33"/>
      <c r="K55" s="33"/>
      <c r="L55" s="33">
        <f t="shared" si="3"/>
        <v>217.8</v>
      </c>
      <c r="M55" s="33" t="e">
        <f t="shared" si="4"/>
        <v>#DIV/0!</v>
      </c>
    </row>
    <row r="56" spans="1:13" ht="15.75" hidden="1">
      <c r="A56" s="104"/>
      <c r="B56" s="106"/>
      <c r="C56" s="23" t="s">
        <v>34</v>
      </c>
      <c r="D56" s="34" t="s">
        <v>35</v>
      </c>
      <c r="E56" s="52"/>
      <c r="F56" s="52"/>
      <c r="G56" s="52"/>
      <c r="H56" s="52"/>
      <c r="I56" s="52">
        <f t="shared" si="0"/>
        <v>0</v>
      </c>
      <c r="J56" s="52"/>
      <c r="K56" s="52"/>
      <c r="L56" s="52">
        <f t="shared" si="3"/>
        <v>0</v>
      </c>
      <c r="M56" s="52" t="e">
        <f t="shared" si="4"/>
        <v>#DIV/0!</v>
      </c>
    </row>
    <row r="57" spans="1:13" ht="15.75">
      <c r="A57" s="104"/>
      <c r="B57" s="106"/>
      <c r="C57" s="23" t="s">
        <v>41</v>
      </c>
      <c r="D57" s="34" t="s">
        <v>42</v>
      </c>
      <c r="E57" s="52">
        <v>16.7</v>
      </c>
      <c r="F57" s="52"/>
      <c r="G57" s="52"/>
      <c r="H57" s="52"/>
      <c r="I57" s="52">
        <f t="shared" si="0"/>
        <v>0</v>
      </c>
      <c r="J57" s="52"/>
      <c r="K57" s="52"/>
      <c r="L57" s="52">
        <f t="shared" si="3"/>
        <v>-16.7</v>
      </c>
      <c r="M57" s="52">
        <f t="shared" si="4"/>
        <v>0</v>
      </c>
    </row>
    <row r="58" spans="1:13" ht="15.75" hidden="1">
      <c r="A58" s="104"/>
      <c r="B58" s="106"/>
      <c r="C58" s="23" t="s">
        <v>70</v>
      </c>
      <c r="D58" s="34" t="s">
        <v>71</v>
      </c>
      <c r="E58" s="33"/>
      <c r="F58" s="52"/>
      <c r="G58" s="33"/>
      <c r="H58" s="33"/>
      <c r="I58" s="33">
        <f t="shared" si="0"/>
        <v>0</v>
      </c>
      <c r="J58" s="33" t="e">
        <f t="shared" si="1"/>
        <v>#DIV/0!</v>
      </c>
      <c r="K58" s="33" t="e">
        <f t="shared" si="2"/>
        <v>#DIV/0!</v>
      </c>
      <c r="L58" s="33">
        <f t="shared" si="3"/>
        <v>0</v>
      </c>
      <c r="M58" s="33" t="e">
        <f t="shared" si="4"/>
        <v>#DIV/0!</v>
      </c>
    </row>
    <row r="59" spans="1:13" ht="15.75" hidden="1">
      <c r="A59" s="104"/>
      <c r="B59" s="106"/>
      <c r="C59" s="23" t="s">
        <v>43</v>
      </c>
      <c r="D59" s="34" t="s">
        <v>38</v>
      </c>
      <c r="E59" s="33"/>
      <c r="F59" s="52"/>
      <c r="G59" s="33"/>
      <c r="H59" s="33"/>
      <c r="I59" s="33">
        <f t="shared" si="0"/>
        <v>0</v>
      </c>
      <c r="J59" s="33" t="e">
        <f t="shared" si="1"/>
        <v>#DIV/0!</v>
      </c>
      <c r="K59" s="33" t="e">
        <f t="shared" si="2"/>
        <v>#DIV/0!</v>
      </c>
      <c r="L59" s="33">
        <f t="shared" si="3"/>
        <v>0</v>
      </c>
      <c r="M59" s="33" t="e">
        <f t="shared" si="4"/>
        <v>#DIV/0!</v>
      </c>
    </row>
    <row r="60" spans="1:13" s="5" customFormat="1" ht="15.75">
      <c r="A60" s="104"/>
      <c r="B60" s="106"/>
      <c r="C60" s="24"/>
      <c r="D60" s="3" t="s">
        <v>44</v>
      </c>
      <c r="E60" s="4">
        <f>SUM(E51:E54,E56:E59)</f>
        <v>2661.2999999999997</v>
      </c>
      <c r="F60" s="4">
        <f>SUM(F51:F54,F56:F59)</f>
        <v>96</v>
      </c>
      <c r="G60" s="4">
        <f>SUM(G51:G54,G56:G59)</f>
        <v>51</v>
      </c>
      <c r="H60" s="4">
        <f>SUM(H51:H54,H56:H59)</f>
        <v>498.8</v>
      </c>
      <c r="I60" s="4">
        <f t="shared" si="0"/>
        <v>447.8</v>
      </c>
      <c r="J60" s="4">
        <f t="shared" si="1"/>
        <v>978.0392156862746</v>
      </c>
      <c r="K60" s="4">
        <f t="shared" si="2"/>
        <v>519.5833333333334</v>
      </c>
      <c r="L60" s="4">
        <f t="shared" si="3"/>
        <v>-2162.4999999999995</v>
      </c>
      <c r="M60" s="4">
        <f t="shared" si="4"/>
        <v>18.742719723443432</v>
      </c>
    </row>
    <row r="61" spans="1:13" ht="15.75">
      <c r="A61" s="104"/>
      <c r="B61" s="106"/>
      <c r="C61" s="23" t="s">
        <v>28</v>
      </c>
      <c r="D61" s="34" t="s">
        <v>29</v>
      </c>
      <c r="E61" s="33">
        <f>E62</f>
        <v>1723.2</v>
      </c>
      <c r="F61" s="33">
        <f>F62</f>
        <v>1500</v>
      </c>
      <c r="G61" s="33">
        <f>G62</f>
        <v>860</v>
      </c>
      <c r="H61" s="33">
        <f>H62</f>
        <v>2744.5</v>
      </c>
      <c r="I61" s="33">
        <f t="shared" si="0"/>
        <v>1884.5</v>
      </c>
      <c r="J61" s="33">
        <f t="shared" si="1"/>
        <v>319.12790697674416</v>
      </c>
      <c r="K61" s="33">
        <f t="shared" si="2"/>
        <v>182.96666666666667</v>
      </c>
      <c r="L61" s="33">
        <f t="shared" si="3"/>
        <v>1021.3</v>
      </c>
      <c r="M61" s="33">
        <f t="shared" si="4"/>
        <v>159.26764159702878</v>
      </c>
    </row>
    <row r="62" spans="1:13" ht="47.25" hidden="1">
      <c r="A62" s="104"/>
      <c r="B62" s="106"/>
      <c r="C62" s="22" t="s">
        <v>32</v>
      </c>
      <c r="D62" s="36" t="s">
        <v>33</v>
      </c>
      <c r="E62" s="33">
        <v>1723.2</v>
      </c>
      <c r="F62" s="33">
        <v>1500</v>
      </c>
      <c r="G62" s="33">
        <v>860</v>
      </c>
      <c r="H62" s="33">
        <v>2744.5</v>
      </c>
      <c r="I62" s="33">
        <f t="shared" si="0"/>
        <v>1884.5</v>
      </c>
      <c r="J62" s="33">
        <f t="shared" si="1"/>
        <v>319.12790697674416</v>
      </c>
      <c r="K62" s="33">
        <f t="shared" si="2"/>
        <v>182.96666666666667</v>
      </c>
      <c r="L62" s="33">
        <f t="shared" si="3"/>
        <v>1021.3</v>
      </c>
      <c r="M62" s="33">
        <f t="shared" si="4"/>
        <v>159.26764159702878</v>
      </c>
    </row>
    <row r="63" spans="1:13" s="5" customFormat="1" ht="15.75">
      <c r="A63" s="104"/>
      <c r="B63" s="106"/>
      <c r="C63" s="24"/>
      <c r="D63" s="3" t="s">
        <v>47</v>
      </c>
      <c r="E63" s="4">
        <f>SUM(E61)</f>
        <v>1723.2</v>
      </c>
      <c r="F63" s="4">
        <f>SUM(F61)</f>
        <v>1500</v>
      </c>
      <c r="G63" s="4">
        <f>SUM(G61)</f>
        <v>860</v>
      </c>
      <c r="H63" s="4">
        <f>SUM(H61)</f>
        <v>2744.5</v>
      </c>
      <c r="I63" s="4">
        <f t="shared" si="0"/>
        <v>1884.5</v>
      </c>
      <c r="J63" s="4">
        <f t="shared" si="1"/>
        <v>319.12790697674416</v>
      </c>
      <c r="K63" s="4">
        <f t="shared" si="2"/>
        <v>182.96666666666667</v>
      </c>
      <c r="L63" s="4">
        <f t="shared" si="3"/>
        <v>1021.3</v>
      </c>
      <c r="M63" s="4">
        <f t="shared" si="4"/>
        <v>159.26764159702878</v>
      </c>
    </row>
    <row r="64" spans="1:13" s="5" customFormat="1" ht="31.5" hidden="1">
      <c r="A64" s="6"/>
      <c r="B64" s="7"/>
      <c r="C64" s="24"/>
      <c r="D64" s="3" t="s">
        <v>48</v>
      </c>
      <c r="E64" s="4">
        <f>E65-E59</f>
        <v>4384.5</v>
      </c>
      <c r="F64" s="4">
        <f>F65-F59</f>
        <v>1596</v>
      </c>
      <c r="G64" s="4">
        <f>G65-G59</f>
        <v>911</v>
      </c>
      <c r="H64" s="4">
        <f>H65-H59</f>
        <v>3243.3</v>
      </c>
      <c r="I64" s="4">
        <f t="shared" si="0"/>
        <v>2332.3</v>
      </c>
      <c r="J64" s="4">
        <f t="shared" si="1"/>
        <v>356.0153677277717</v>
      </c>
      <c r="K64" s="4">
        <f t="shared" si="2"/>
        <v>203.21428571428575</v>
      </c>
      <c r="L64" s="4">
        <f t="shared" si="3"/>
        <v>-1141.1999999999998</v>
      </c>
      <c r="M64" s="4">
        <f t="shared" si="4"/>
        <v>73.97194663017447</v>
      </c>
    </row>
    <row r="65" spans="1:13" s="5" customFormat="1" ht="15.75">
      <c r="A65" s="9"/>
      <c r="B65" s="9"/>
      <c r="C65" s="24"/>
      <c r="D65" s="3" t="s">
        <v>67</v>
      </c>
      <c r="E65" s="4">
        <f>E60+E63</f>
        <v>4384.5</v>
      </c>
      <c r="F65" s="4">
        <f>F60+F63</f>
        <v>1596</v>
      </c>
      <c r="G65" s="4">
        <f>G60+G63</f>
        <v>911</v>
      </c>
      <c r="H65" s="4">
        <f>H60+H63</f>
        <v>3243.3</v>
      </c>
      <c r="I65" s="4">
        <f t="shared" si="0"/>
        <v>2332.3</v>
      </c>
      <c r="J65" s="4">
        <f t="shared" si="1"/>
        <v>356.0153677277717</v>
      </c>
      <c r="K65" s="4">
        <f t="shared" si="2"/>
        <v>203.21428571428575</v>
      </c>
      <c r="L65" s="4">
        <f t="shared" si="3"/>
        <v>-1141.1999999999998</v>
      </c>
      <c r="M65" s="4">
        <f t="shared" si="4"/>
        <v>73.97194663017447</v>
      </c>
    </row>
    <row r="66" spans="1:13" ht="15.75">
      <c r="A66" s="103">
        <v>905</v>
      </c>
      <c r="B66" s="103" t="s">
        <v>72</v>
      </c>
      <c r="C66" s="23" t="s">
        <v>28</v>
      </c>
      <c r="D66" s="34" t="s">
        <v>29</v>
      </c>
      <c r="E66" s="33">
        <f>E67</f>
        <v>0</v>
      </c>
      <c r="F66" s="33">
        <f>F67</f>
        <v>0</v>
      </c>
      <c r="G66" s="33">
        <f>G67</f>
        <v>0</v>
      </c>
      <c r="H66" s="33">
        <f>H67</f>
        <v>86.9</v>
      </c>
      <c r="I66" s="33">
        <f t="shared" si="0"/>
        <v>86.9</v>
      </c>
      <c r="J66" s="33"/>
      <c r="K66" s="33"/>
      <c r="L66" s="33">
        <f t="shared" si="3"/>
        <v>86.9</v>
      </c>
      <c r="M66" s="33"/>
    </row>
    <row r="67" spans="1:13" ht="47.25" hidden="1">
      <c r="A67" s="106"/>
      <c r="B67" s="106"/>
      <c r="C67" s="22" t="s">
        <v>32</v>
      </c>
      <c r="D67" s="36" t="s">
        <v>33</v>
      </c>
      <c r="E67" s="33"/>
      <c r="F67" s="33"/>
      <c r="G67" s="33"/>
      <c r="H67" s="33">
        <v>86.9</v>
      </c>
      <c r="I67" s="33">
        <f t="shared" si="0"/>
        <v>86.9</v>
      </c>
      <c r="J67" s="33"/>
      <c r="K67" s="33"/>
      <c r="L67" s="33">
        <f t="shared" si="3"/>
        <v>86.9</v>
      </c>
      <c r="M67" s="33" t="e">
        <f t="shared" si="4"/>
        <v>#DIV/0!</v>
      </c>
    </row>
    <row r="68" spans="1:13" s="5" customFormat="1" ht="15.75" customHeight="1">
      <c r="A68" s="106"/>
      <c r="B68" s="106"/>
      <c r="C68" s="23" t="s">
        <v>34</v>
      </c>
      <c r="D68" s="34" t="s">
        <v>35</v>
      </c>
      <c r="E68" s="52">
        <v>5.6</v>
      </c>
      <c r="F68" s="52"/>
      <c r="G68" s="52"/>
      <c r="H68" s="52"/>
      <c r="I68" s="52">
        <f t="shared" si="0"/>
        <v>0</v>
      </c>
      <c r="J68" s="52"/>
      <c r="K68" s="52"/>
      <c r="L68" s="52">
        <f t="shared" si="3"/>
        <v>-5.6</v>
      </c>
      <c r="M68" s="52">
        <f t="shared" si="4"/>
        <v>0</v>
      </c>
    </row>
    <row r="69" spans="1:13" s="5" customFormat="1" ht="15.75" hidden="1">
      <c r="A69" s="106"/>
      <c r="B69" s="106"/>
      <c r="C69" s="23" t="s">
        <v>41</v>
      </c>
      <c r="D69" s="34" t="s">
        <v>42</v>
      </c>
      <c r="E69" s="52"/>
      <c r="F69" s="52"/>
      <c r="G69" s="52"/>
      <c r="H69" s="52"/>
      <c r="I69" s="52">
        <f t="shared" si="0"/>
        <v>0</v>
      </c>
      <c r="J69" s="52"/>
      <c r="K69" s="52"/>
      <c r="L69" s="52">
        <f t="shared" si="3"/>
        <v>0</v>
      </c>
      <c r="M69" s="52" t="e">
        <f t="shared" si="4"/>
        <v>#DIV/0!</v>
      </c>
    </row>
    <row r="70" spans="1:13" s="5" customFormat="1" ht="15.75">
      <c r="A70" s="107"/>
      <c r="B70" s="107"/>
      <c r="C70" s="24"/>
      <c r="D70" s="3" t="s">
        <v>67</v>
      </c>
      <c r="E70" s="8">
        <f>E68+E69+E66</f>
        <v>5.6</v>
      </c>
      <c r="F70" s="8">
        <f>F68+F69+F66</f>
        <v>0</v>
      </c>
      <c r="G70" s="8">
        <f>G68+G69+G66</f>
        <v>0</v>
      </c>
      <c r="H70" s="8">
        <f>H68+H69+H66</f>
        <v>86.9</v>
      </c>
      <c r="I70" s="8">
        <f t="shared" si="0"/>
        <v>86.9</v>
      </c>
      <c r="J70" s="8"/>
      <c r="K70" s="8"/>
      <c r="L70" s="8">
        <f t="shared" si="3"/>
        <v>81.30000000000001</v>
      </c>
      <c r="M70" s="8">
        <f t="shared" si="4"/>
        <v>1551.7857142857144</v>
      </c>
    </row>
    <row r="71" spans="1:13" ht="31.5">
      <c r="A71" s="100" t="s">
        <v>73</v>
      </c>
      <c r="B71" s="103" t="s">
        <v>74</v>
      </c>
      <c r="C71" s="23" t="s">
        <v>20</v>
      </c>
      <c r="D71" s="47" t="s">
        <v>21</v>
      </c>
      <c r="E71" s="33">
        <v>0.4</v>
      </c>
      <c r="F71" s="33"/>
      <c r="G71" s="33"/>
      <c r="H71" s="33">
        <v>3</v>
      </c>
      <c r="I71" s="33">
        <f t="shared" si="0"/>
        <v>3</v>
      </c>
      <c r="J71" s="33"/>
      <c r="K71" s="33"/>
      <c r="L71" s="33">
        <f t="shared" si="3"/>
        <v>2.6</v>
      </c>
      <c r="M71" s="33">
        <f t="shared" si="4"/>
        <v>750</v>
      </c>
    </row>
    <row r="72" spans="1:13" ht="15.75" hidden="1">
      <c r="A72" s="104"/>
      <c r="B72" s="106"/>
      <c r="C72" s="23" t="s">
        <v>28</v>
      </c>
      <c r="D72" s="34" t="s">
        <v>29</v>
      </c>
      <c r="E72" s="33">
        <f>E73</f>
        <v>0</v>
      </c>
      <c r="F72" s="33">
        <f>F73</f>
        <v>0</v>
      </c>
      <c r="G72" s="33">
        <f>G73</f>
        <v>0</v>
      </c>
      <c r="H72" s="33">
        <f>H73</f>
        <v>0</v>
      </c>
      <c r="I72" s="33">
        <f t="shared" si="0"/>
        <v>0</v>
      </c>
      <c r="J72" s="33"/>
      <c r="K72" s="33"/>
      <c r="L72" s="33">
        <f t="shared" si="3"/>
        <v>0</v>
      </c>
      <c r="M72" s="33" t="e">
        <f t="shared" si="4"/>
        <v>#DIV/0!</v>
      </c>
    </row>
    <row r="73" spans="1:13" ht="47.25" hidden="1">
      <c r="A73" s="104"/>
      <c r="B73" s="106"/>
      <c r="C73" s="22" t="s">
        <v>32</v>
      </c>
      <c r="D73" s="36" t="s">
        <v>33</v>
      </c>
      <c r="E73" s="33"/>
      <c r="F73" s="33"/>
      <c r="G73" s="33"/>
      <c r="H73" s="33"/>
      <c r="I73" s="33">
        <f aca="true" t="shared" si="5" ref="I73:I136">H73-G73</f>
        <v>0</v>
      </c>
      <c r="J73" s="33"/>
      <c r="K73" s="33"/>
      <c r="L73" s="33">
        <f aca="true" t="shared" si="6" ref="L73:L136">H73-E73</f>
        <v>0</v>
      </c>
      <c r="M73" s="33" t="e">
        <f aca="true" t="shared" si="7" ref="M73:M136">H73/E73*100</f>
        <v>#DIV/0!</v>
      </c>
    </row>
    <row r="74" spans="1:13" ht="15.75" hidden="1">
      <c r="A74" s="104"/>
      <c r="B74" s="106"/>
      <c r="C74" s="23" t="s">
        <v>34</v>
      </c>
      <c r="D74" s="34" t="s">
        <v>35</v>
      </c>
      <c r="E74" s="33"/>
      <c r="F74" s="33"/>
      <c r="G74" s="33"/>
      <c r="H74" s="33"/>
      <c r="I74" s="33">
        <f t="shared" si="5"/>
        <v>0</v>
      </c>
      <c r="J74" s="33"/>
      <c r="K74" s="33"/>
      <c r="L74" s="33">
        <f t="shared" si="6"/>
        <v>0</v>
      </c>
      <c r="M74" s="33" t="e">
        <f t="shared" si="7"/>
        <v>#DIV/0!</v>
      </c>
    </row>
    <row r="75" spans="1:13" ht="15.75">
      <c r="A75" s="104"/>
      <c r="B75" s="106"/>
      <c r="C75" s="23" t="s">
        <v>41</v>
      </c>
      <c r="D75" s="34" t="s">
        <v>42</v>
      </c>
      <c r="E75" s="33">
        <v>22.3</v>
      </c>
      <c r="F75" s="33"/>
      <c r="G75" s="33"/>
      <c r="H75" s="33"/>
      <c r="I75" s="33">
        <f t="shared" si="5"/>
        <v>0</v>
      </c>
      <c r="J75" s="33"/>
      <c r="K75" s="33"/>
      <c r="L75" s="33">
        <f t="shared" si="6"/>
        <v>-22.3</v>
      </c>
      <c r="M75" s="33">
        <f t="shared" si="7"/>
        <v>0</v>
      </c>
    </row>
    <row r="76" spans="1:13" s="5" customFormat="1" ht="15.75">
      <c r="A76" s="104"/>
      <c r="B76" s="106"/>
      <c r="C76" s="19"/>
      <c r="D76" s="3" t="s">
        <v>44</v>
      </c>
      <c r="E76" s="4">
        <f>SUM(E71:E72,E74:E75)</f>
        <v>22.7</v>
      </c>
      <c r="F76" s="4">
        <f>SUM(F71:F72,F74:F75)</f>
        <v>0</v>
      </c>
      <c r="G76" s="4">
        <f>SUM(G71:G72,G74:G75)</f>
        <v>0</v>
      </c>
      <c r="H76" s="4">
        <f>SUM(H71:H72,H74:H75)</f>
        <v>3</v>
      </c>
      <c r="I76" s="4">
        <f t="shared" si="5"/>
        <v>3</v>
      </c>
      <c r="J76" s="4"/>
      <c r="K76" s="4"/>
      <c r="L76" s="4">
        <f t="shared" si="6"/>
        <v>-19.7</v>
      </c>
      <c r="M76" s="4">
        <f t="shared" si="7"/>
        <v>13.215859030837004</v>
      </c>
    </row>
    <row r="77" spans="1:13" ht="15.75">
      <c r="A77" s="104"/>
      <c r="B77" s="106"/>
      <c r="C77" s="23" t="s">
        <v>75</v>
      </c>
      <c r="D77" s="34" t="s">
        <v>76</v>
      </c>
      <c r="E77" s="33">
        <v>7900.8</v>
      </c>
      <c r="F77" s="33">
        <v>11611.7</v>
      </c>
      <c r="G77" s="33">
        <v>8128.1</v>
      </c>
      <c r="H77" s="33">
        <v>9688.8</v>
      </c>
      <c r="I77" s="33">
        <f t="shared" si="5"/>
        <v>1560.699999999999</v>
      </c>
      <c r="J77" s="33">
        <f aca="true" t="shared" si="8" ref="J77:J136">H77/G77*100</f>
        <v>119.20128935421562</v>
      </c>
      <c r="K77" s="33">
        <f aca="true" t="shared" si="9" ref="K77:K136">H77/F77*100</f>
        <v>83.43997864223152</v>
      </c>
      <c r="L77" s="33">
        <f t="shared" si="6"/>
        <v>1787.999999999999</v>
      </c>
      <c r="M77" s="33">
        <f t="shared" si="7"/>
        <v>122.63061968408262</v>
      </c>
    </row>
    <row r="78" spans="1:13" ht="15.75">
      <c r="A78" s="104"/>
      <c r="B78" s="106"/>
      <c r="C78" s="23" t="s">
        <v>28</v>
      </c>
      <c r="D78" s="34" t="s">
        <v>29</v>
      </c>
      <c r="E78" s="33">
        <f>SUM(E79:E85)</f>
        <v>6823.6</v>
      </c>
      <c r="F78" s="33">
        <f>SUM(F79:F85)</f>
        <v>9233.6</v>
      </c>
      <c r="G78" s="33">
        <f>SUM(G79:G85)</f>
        <v>4339.9</v>
      </c>
      <c r="H78" s="33">
        <f>SUM(H79:H85)</f>
        <v>6695.1</v>
      </c>
      <c r="I78" s="33">
        <f t="shared" si="5"/>
        <v>2355.2000000000007</v>
      </c>
      <c r="J78" s="33">
        <f t="shared" si="8"/>
        <v>154.26853153298467</v>
      </c>
      <c r="K78" s="33">
        <f t="shared" si="9"/>
        <v>72.50801420897591</v>
      </c>
      <c r="L78" s="33">
        <f t="shared" si="6"/>
        <v>-128.5</v>
      </c>
      <c r="M78" s="33">
        <f t="shared" si="7"/>
        <v>98.11682982589835</v>
      </c>
    </row>
    <row r="79" spans="1:13" s="5" customFormat="1" ht="31.5" hidden="1">
      <c r="A79" s="104"/>
      <c r="B79" s="106"/>
      <c r="C79" s="22" t="s">
        <v>77</v>
      </c>
      <c r="D79" s="36" t="s">
        <v>78</v>
      </c>
      <c r="E79" s="33">
        <v>615.1</v>
      </c>
      <c r="F79" s="33">
        <v>1400</v>
      </c>
      <c r="G79" s="33">
        <v>658</v>
      </c>
      <c r="H79" s="33">
        <v>751.4</v>
      </c>
      <c r="I79" s="33">
        <f t="shared" si="5"/>
        <v>93.39999999999998</v>
      </c>
      <c r="J79" s="33">
        <f t="shared" si="8"/>
        <v>114.19452887537993</v>
      </c>
      <c r="K79" s="33">
        <f t="shared" si="9"/>
        <v>53.67142857142857</v>
      </c>
      <c r="L79" s="33">
        <f t="shared" si="6"/>
        <v>136.29999999999995</v>
      </c>
      <c r="M79" s="33">
        <f t="shared" si="7"/>
        <v>122.15899853682328</v>
      </c>
    </row>
    <row r="80" spans="1:13" s="5" customFormat="1" ht="47.25" hidden="1">
      <c r="A80" s="104"/>
      <c r="B80" s="106"/>
      <c r="C80" s="22" t="s">
        <v>79</v>
      </c>
      <c r="D80" s="36" t="s">
        <v>80</v>
      </c>
      <c r="E80" s="33">
        <v>2029.2</v>
      </c>
      <c r="F80" s="33">
        <v>1100</v>
      </c>
      <c r="G80" s="33">
        <v>407</v>
      </c>
      <c r="H80" s="33">
        <v>505.6</v>
      </c>
      <c r="I80" s="33">
        <f t="shared" si="5"/>
        <v>98.60000000000002</v>
      </c>
      <c r="J80" s="33">
        <f t="shared" si="8"/>
        <v>124.22604422604424</v>
      </c>
      <c r="K80" s="33">
        <f t="shared" si="9"/>
        <v>45.96363636363637</v>
      </c>
      <c r="L80" s="33">
        <f t="shared" si="6"/>
        <v>-1523.6</v>
      </c>
      <c r="M80" s="33">
        <f t="shared" si="7"/>
        <v>24.916223142124977</v>
      </c>
    </row>
    <row r="81" spans="1:13" s="5" customFormat="1" ht="31.5" hidden="1">
      <c r="A81" s="104"/>
      <c r="B81" s="106"/>
      <c r="C81" s="22" t="s">
        <v>81</v>
      </c>
      <c r="D81" s="36" t="s">
        <v>82</v>
      </c>
      <c r="E81" s="33"/>
      <c r="F81" s="33"/>
      <c r="G81" s="33"/>
      <c r="H81" s="33"/>
      <c r="I81" s="33">
        <f t="shared" si="5"/>
        <v>0</v>
      </c>
      <c r="J81" s="33" t="e">
        <f t="shared" si="8"/>
        <v>#DIV/0!</v>
      </c>
      <c r="K81" s="33" t="e">
        <f t="shared" si="9"/>
        <v>#DIV/0!</v>
      </c>
      <c r="L81" s="33">
        <f t="shared" si="6"/>
        <v>0</v>
      </c>
      <c r="M81" s="33" t="e">
        <f t="shared" si="7"/>
        <v>#DIV/0!</v>
      </c>
    </row>
    <row r="82" spans="1:13" s="5" customFormat="1" ht="31.5" hidden="1">
      <c r="A82" s="104"/>
      <c r="B82" s="106"/>
      <c r="C82" s="22" t="s">
        <v>83</v>
      </c>
      <c r="D82" s="36" t="s">
        <v>84</v>
      </c>
      <c r="E82" s="33">
        <v>2365.2</v>
      </c>
      <c r="F82" s="33">
        <v>3553.3</v>
      </c>
      <c r="G82" s="33">
        <v>1812.1</v>
      </c>
      <c r="H82" s="33">
        <v>1768.5</v>
      </c>
      <c r="I82" s="33">
        <f t="shared" si="5"/>
        <v>-43.59999999999991</v>
      </c>
      <c r="J82" s="33">
        <f t="shared" si="8"/>
        <v>97.5939517686662</v>
      </c>
      <c r="K82" s="33">
        <f t="shared" si="9"/>
        <v>49.77063574705203</v>
      </c>
      <c r="L82" s="33">
        <f t="shared" si="6"/>
        <v>-596.6999999999998</v>
      </c>
      <c r="M82" s="33">
        <f t="shared" si="7"/>
        <v>74.77168949771689</v>
      </c>
    </row>
    <row r="83" spans="1:13" s="5" customFormat="1" ht="31.5" hidden="1">
      <c r="A83" s="104"/>
      <c r="B83" s="106"/>
      <c r="C83" s="22" t="s">
        <v>85</v>
      </c>
      <c r="D83" s="36" t="s">
        <v>86</v>
      </c>
      <c r="E83" s="33"/>
      <c r="F83" s="33"/>
      <c r="G83" s="33"/>
      <c r="H83" s="33"/>
      <c r="I83" s="33">
        <f t="shared" si="5"/>
        <v>0</v>
      </c>
      <c r="J83" s="33" t="e">
        <f t="shared" si="8"/>
        <v>#DIV/0!</v>
      </c>
      <c r="K83" s="33" t="e">
        <f t="shared" si="9"/>
        <v>#DIV/0!</v>
      </c>
      <c r="L83" s="33">
        <f t="shared" si="6"/>
        <v>0</v>
      </c>
      <c r="M83" s="33" t="e">
        <f t="shared" si="7"/>
        <v>#DIV/0!</v>
      </c>
    </row>
    <row r="84" spans="1:13" s="5" customFormat="1" ht="31.5" hidden="1">
      <c r="A84" s="104"/>
      <c r="B84" s="106"/>
      <c r="C84" s="22" t="s">
        <v>87</v>
      </c>
      <c r="D84" s="36" t="s">
        <v>88</v>
      </c>
      <c r="E84" s="33"/>
      <c r="F84" s="33"/>
      <c r="G84" s="33"/>
      <c r="H84" s="33"/>
      <c r="I84" s="33">
        <f t="shared" si="5"/>
        <v>0</v>
      </c>
      <c r="J84" s="33" t="e">
        <f t="shared" si="8"/>
        <v>#DIV/0!</v>
      </c>
      <c r="K84" s="33" t="e">
        <f t="shared" si="9"/>
        <v>#DIV/0!</v>
      </c>
      <c r="L84" s="33">
        <f t="shared" si="6"/>
        <v>0</v>
      </c>
      <c r="M84" s="33" t="e">
        <f t="shared" si="7"/>
        <v>#DIV/0!</v>
      </c>
    </row>
    <row r="85" spans="1:13" ht="47.25" hidden="1">
      <c r="A85" s="104"/>
      <c r="B85" s="106"/>
      <c r="C85" s="22" t="s">
        <v>32</v>
      </c>
      <c r="D85" s="36" t="s">
        <v>33</v>
      </c>
      <c r="E85" s="33">
        <v>1814.1</v>
      </c>
      <c r="F85" s="33">
        <v>3180.3</v>
      </c>
      <c r="G85" s="33">
        <v>1462.8</v>
      </c>
      <c r="H85" s="33">
        <v>3669.6</v>
      </c>
      <c r="I85" s="33">
        <f t="shared" si="5"/>
        <v>2206.8</v>
      </c>
      <c r="J85" s="33">
        <f t="shared" si="8"/>
        <v>250.86136177194422</v>
      </c>
      <c r="K85" s="33">
        <f t="shared" si="9"/>
        <v>115.3853410055655</v>
      </c>
      <c r="L85" s="33">
        <f t="shared" si="6"/>
        <v>1855.5</v>
      </c>
      <c r="M85" s="33">
        <f t="shared" si="7"/>
        <v>202.2821233669588</v>
      </c>
    </row>
    <row r="86" spans="1:13" s="5" customFormat="1" ht="15.75">
      <c r="A86" s="104"/>
      <c r="B86" s="106"/>
      <c r="C86" s="25"/>
      <c r="D86" s="3" t="s">
        <v>47</v>
      </c>
      <c r="E86" s="4">
        <f>SUM(E77:E78)</f>
        <v>14724.400000000001</v>
      </c>
      <c r="F86" s="4">
        <f>SUM(F77:F78)</f>
        <v>20845.300000000003</v>
      </c>
      <c r="G86" s="4">
        <f>SUM(G77:G78)</f>
        <v>12468</v>
      </c>
      <c r="H86" s="4">
        <f>SUM(H77:H78)</f>
        <v>16383.9</v>
      </c>
      <c r="I86" s="4">
        <f t="shared" si="5"/>
        <v>3915.8999999999996</v>
      </c>
      <c r="J86" s="4">
        <f t="shared" si="8"/>
        <v>131.40760346487005</v>
      </c>
      <c r="K86" s="4">
        <f t="shared" si="9"/>
        <v>78.5975735537507</v>
      </c>
      <c r="L86" s="4">
        <f t="shared" si="6"/>
        <v>1659.4999999999982</v>
      </c>
      <c r="M86" s="4">
        <f t="shared" si="7"/>
        <v>111.27040830186627</v>
      </c>
    </row>
    <row r="87" spans="1:13" s="5" customFormat="1" ht="15.75">
      <c r="A87" s="105"/>
      <c r="B87" s="107"/>
      <c r="C87" s="25"/>
      <c r="D87" s="3" t="s">
        <v>67</v>
      </c>
      <c r="E87" s="4">
        <f>E76+E86</f>
        <v>14747.100000000002</v>
      </c>
      <c r="F87" s="4">
        <f>F76+F86</f>
        <v>20845.300000000003</v>
      </c>
      <c r="G87" s="4">
        <f>G76+G86</f>
        <v>12468</v>
      </c>
      <c r="H87" s="4">
        <f>H76+H86</f>
        <v>16386.9</v>
      </c>
      <c r="I87" s="4">
        <f t="shared" si="5"/>
        <v>3918.9000000000015</v>
      </c>
      <c r="J87" s="4">
        <f t="shared" si="8"/>
        <v>131.43166506256017</v>
      </c>
      <c r="K87" s="4">
        <f t="shared" si="9"/>
        <v>78.61196528713906</v>
      </c>
      <c r="L87" s="4">
        <f t="shared" si="6"/>
        <v>1639.7999999999993</v>
      </c>
      <c r="M87" s="4">
        <f t="shared" si="7"/>
        <v>111.11947433732735</v>
      </c>
    </row>
    <row r="88" spans="1:13" ht="15.75">
      <c r="A88" s="100" t="s">
        <v>89</v>
      </c>
      <c r="B88" s="103" t="s">
        <v>90</v>
      </c>
      <c r="C88" s="23" t="s">
        <v>14</v>
      </c>
      <c r="D88" s="46" t="s">
        <v>15</v>
      </c>
      <c r="E88" s="52"/>
      <c r="F88" s="52"/>
      <c r="G88" s="52"/>
      <c r="H88" s="52">
        <v>10013</v>
      </c>
      <c r="I88" s="52">
        <f t="shared" si="5"/>
        <v>10013</v>
      </c>
      <c r="J88" s="52"/>
      <c r="K88" s="52"/>
      <c r="L88" s="52">
        <f t="shared" si="6"/>
        <v>10013</v>
      </c>
      <c r="M88" s="52"/>
    </row>
    <row r="89" spans="1:13" ht="31.5">
      <c r="A89" s="104"/>
      <c r="B89" s="106"/>
      <c r="C89" s="23" t="s">
        <v>20</v>
      </c>
      <c r="D89" s="47" t="s">
        <v>21</v>
      </c>
      <c r="E89" s="52">
        <v>422.5</v>
      </c>
      <c r="F89" s="52"/>
      <c r="G89" s="52"/>
      <c r="H89" s="52">
        <v>629.9</v>
      </c>
      <c r="I89" s="52">
        <f t="shared" si="5"/>
        <v>629.9</v>
      </c>
      <c r="J89" s="52"/>
      <c r="K89" s="52"/>
      <c r="L89" s="52">
        <f t="shared" si="6"/>
        <v>207.39999999999998</v>
      </c>
      <c r="M89" s="52">
        <f t="shared" si="7"/>
        <v>149.0887573964497</v>
      </c>
    </row>
    <row r="90" spans="1:13" ht="86.25" customHeight="1">
      <c r="A90" s="104"/>
      <c r="B90" s="106"/>
      <c r="C90" s="22" t="s">
        <v>22</v>
      </c>
      <c r="D90" s="48" t="s">
        <v>23</v>
      </c>
      <c r="E90" s="52">
        <v>35.9</v>
      </c>
      <c r="F90" s="52"/>
      <c r="G90" s="52"/>
      <c r="H90" s="52">
        <v>33.8</v>
      </c>
      <c r="I90" s="52">
        <f t="shared" si="5"/>
        <v>33.8</v>
      </c>
      <c r="J90" s="52"/>
      <c r="K90" s="52"/>
      <c r="L90" s="52">
        <f t="shared" si="6"/>
        <v>-2.1000000000000014</v>
      </c>
      <c r="M90" s="52">
        <f t="shared" si="7"/>
        <v>94.15041782729804</v>
      </c>
    </row>
    <row r="91" spans="1:13" ht="15.75">
      <c r="A91" s="104"/>
      <c r="B91" s="106"/>
      <c r="C91" s="23" t="s">
        <v>28</v>
      </c>
      <c r="D91" s="34" t="s">
        <v>29</v>
      </c>
      <c r="E91" s="33">
        <f>E92</f>
        <v>820.8</v>
      </c>
      <c r="F91" s="33">
        <f>F92</f>
        <v>0</v>
      </c>
      <c r="G91" s="33">
        <f>G92</f>
        <v>0</v>
      </c>
      <c r="H91" s="33">
        <f>H92</f>
        <v>117.5</v>
      </c>
      <c r="I91" s="33">
        <f t="shared" si="5"/>
        <v>117.5</v>
      </c>
      <c r="J91" s="33"/>
      <c r="K91" s="33"/>
      <c r="L91" s="33">
        <f t="shared" si="6"/>
        <v>-703.3</v>
      </c>
      <c r="M91" s="33">
        <f t="shared" si="7"/>
        <v>14.315302144249515</v>
      </c>
    </row>
    <row r="92" spans="1:13" ht="47.25" hidden="1">
      <c r="A92" s="104"/>
      <c r="B92" s="106"/>
      <c r="C92" s="22" t="s">
        <v>32</v>
      </c>
      <c r="D92" s="36" t="s">
        <v>33</v>
      </c>
      <c r="E92" s="33">
        <v>820.8</v>
      </c>
      <c r="F92" s="33"/>
      <c r="G92" s="33"/>
      <c r="H92" s="33">
        <v>117.5</v>
      </c>
      <c r="I92" s="33">
        <f t="shared" si="5"/>
        <v>117.5</v>
      </c>
      <c r="J92" s="33" t="e">
        <f t="shared" si="8"/>
        <v>#DIV/0!</v>
      </c>
      <c r="K92" s="33" t="e">
        <f t="shared" si="9"/>
        <v>#DIV/0!</v>
      </c>
      <c r="L92" s="33">
        <f t="shared" si="6"/>
        <v>-703.3</v>
      </c>
      <c r="M92" s="33">
        <f t="shared" si="7"/>
        <v>14.315302144249515</v>
      </c>
    </row>
    <row r="93" spans="1:13" ht="15.75">
      <c r="A93" s="104"/>
      <c r="B93" s="106"/>
      <c r="C93" s="23" t="s">
        <v>34</v>
      </c>
      <c r="D93" s="34" t="s">
        <v>35</v>
      </c>
      <c r="E93" s="52">
        <v>3.6</v>
      </c>
      <c r="F93" s="52"/>
      <c r="G93" s="52"/>
      <c r="H93" s="52"/>
      <c r="I93" s="52">
        <f t="shared" si="5"/>
        <v>0</v>
      </c>
      <c r="J93" s="52"/>
      <c r="K93" s="52"/>
      <c r="L93" s="52">
        <f t="shared" si="6"/>
        <v>-3.6</v>
      </c>
      <c r="M93" s="52">
        <f t="shared" si="7"/>
        <v>0</v>
      </c>
    </row>
    <row r="94" spans="1:13" ht="15.75">
      <c r="A94" s="104"/>
      <c r="B94" s="106"/>
      <c r="C94" s="23" t="s">
        <v>36</v>
      </c>
      <c r="D94" s="34" t="s">
        <v>37</v>
      </c>
      <c r="E94" s="52">
        <v>1008.5</v>
      </c>
      <c r="F94" s="52"/>
      <c r="G94" s="52"/>
      <c r="H94" s="52"/>
      <c r="I94" s="52">
        <f t="shared" si="5"/>
        <v>0</v>
      </c>
      <c r="J94" s="52"/>
      <c r="K94" s="52"/>
      <c r="L94" s="52">
        <f t="shared" si="6"/>
        <v>-1008.5</v>
      </c>
      <c r="M94" s="52">
        <f t="shared" si="7"/>
        <v>0</v>
      </c>
    </row>
    <row r="95" spans="1:13" ht="15.75">
      <c r="A95" s="104"/>
      <c r="B95" s="106"/>
      <c r="C95" s="23" t="s">
        <v>39</v>
      </c>
      <c r="D95" s="34" t="s">
        <v>40</v>
      </c>
      <c r="E95" s="52">
        <v>63111.8</v>
      </c>
      <c r="F95" s="52">
        <f>543251.2+70384.3</f>
        <v>613635.5</v>
      </c>
      <c r="G95" s="52">
        <f>43159.3+61221.6</f>
        <v>104380.9</v>
      </c>
      <c r="H95" s="52">
        <f>17000+51784.2</f>
        <v>68784.2</v>
      </c>
      <c r="I95" s="52">
        <f t="shared" si="5"/>
        <v>-35596.7</v>
      </c>
      <c r="J95" s="52">
        <f t="shared" si="8"/>
        <v>65.89730496671325</v>
      </c>
      <c r="K95" s="52">
        <f t="shared" si="9"/>
        <v>11.209292813078774</v>
      </c>
      <c r="L95" s="52">
        <f t="shared" si="6"/>
        <v>5672.399999999994</v>
      </c>
      <c r="M95" s="52">
        <f t="shared" si="7"/>
        <v>108.98785963956026</v>
      </c>
    </row>
    <row r="96" spans="1:13" ht="15.75">
      <c r="A96" s="104"/>
      <c r="B96" s="106"/>
      <c r="C96" s="23" t="s">
        <v>41</v>
      </c>
      <c r="D96" s="34" t="s">
        <v>91</v>
      </c>
      <c r="E96" s="52">
        <v>60063.3</v>
      </c>
      <c r="F96" s="52">
        <v>99157</v>
      </c>
      <c r="G96" s="52">
        <f>12178.9+46147.2</f>
        <v>58326.1</v>
      </c>
      <c r="H96" s="52">
        <f>12119.5+46627.1</f>
        <v>58746.6</v>
      </c>
      <c r="I96" s="52">
        <f t="shared" si="5"/>
        <v>420.5</v>
      </c>
      <c r="J96" s="52">
        <f t="shared" si="8"/>
        <v>100.72094654022814</v>
      </c>
      <c r="K96" s="52">
        <f t="shared" si="9"/>
        <v>59.24604415220307</v>
      </c>
      <c r="L96" s="52">
        <f t="shared" si="6"/>
        <v>-1316.7000000000044</v>
      </c>
      <c r="M96" s="52">
        <f t="shared" si="7"/>
        <v>97.80781275754079</v>
      </c>
    </row>
    <row r="97" spans="1:13" ht="15.75">
      <c r="A97" s="104"/>
      <c r="B97" s="106"/>
      <c r="C97" s="23" t="s">
        <v>59</v>
      </c>
      <c r="D97" s="36" t="s">
        <v>60</v>
      </c>
      <c r="E97" s="52"/>
      <c r="F97" s="52">
        <v>119289.2</v>
      </c>
      <c r="G97" s="52">
        <v>119289.2</v>
      </c>
      <c r="H97" s="52">
        <v>119289.2</v>
      </c>
      <c r="I97" s="52">
        <f t="shared" si="5"/>
        <v>0</v>
      </c>
      <c r="J97" s="52">
        <f t="shared" si="8"/>
        <v>100</v>
      </c>
      <c r="K97" s="52">
        <f t="shared" si="9"/>
        <v>100</v>
      </c>
      <c r="L97" s="52">
        <f t="shared" si="6"/>
        <v>119289.2</v>
      </c>
      <c r="M97" s="52"/>
    </row>
    <row r="98" spans="1:13" ht="15.75">
      <c r="A98" s="104"/>
      <c r="B98" s="106"/>
      <c r="C98" s="23" t="s">
        <v>43</v>
      </c>
      <c r="D98" s="34" t="s">
        <v>38</v>
      </c>
      <c r="E98" s="52">
        <v>-50.4</v>
      </c>
      <c r="F98" s="52"/>
      <c r="G98" s="52"/>
      <c r="H98" s="52">
        <v>-337</v>
      </c>
      <c r="I98" s="52">
        <f t="shared" si="5"/>
        <v>-337</v>
      </c>
      <c r="J98" s="52"/>
      <c r="K98" s="52"/>
      <c r="L98" s="52">
        <f t="shared" si="6"/>
        <v>-286.6</v>
      </c>
      <c r="M98" s="52">
        <f t="shared" si="7"/>
        <v>668.6507936507937</v>
      </c>
    </row>
    <row r="99" spans="1:13" s="5" customFormat="1" ht="15.75">
      <c r="A99" s="104"/>
      <c r="B99" s="106"/>
      <c r="C99" s="24"/>
      <c r="D99" s="3" t="s">
        <v>44</v>
      </c>
      <c r="E99" s="4">
        <f>SUM(E88:E91,E93:E98)</f>
        <v>125416.00000000001</v>
      </c>
      <c r="F99" s="4">
        <f>SUM(F88:F91,F93:F98)</f>
        <v>832081.7</v>
      </c>
      <c r="G99" s="4">
        <f>SUM(G88:G91,G93:G98)</f>
        <v>281996.2</v>
      </c>
      <c r="H99" s="4">
        <f>SUM(H88:H91,H93:H98)</f>
        <v>257277.2</v>
      </c>
      <c r="I99" s="4">
        <f t="shared" si="5"/>
        <v>-24719</v>
      </c>
      <c r="J99" s="4">
        <f t="shared" si="8"/>
        <v>91.23427904347648</v>
      </c>
      <c r="K99" s="4">
        <f t="shared" si="9"/>
        <v>30.91970415885844</v>
      </c>
      <c r="L99" s="4">
        <f t="shared" si="6"/>
        <v>131861.2</v>
      </c>
      <c r="M99" s="4">
        <f t="shared" si="7"/>
        <v>205.13905721757988</v>
      </c>
    </row>
    <row r="100" spans="1:13" ht="15.75">
      <c r="A100" s="108"/>
      <c r="B100" s="108"/>
      <c r="C100" s="23" t="s">
        <v>28</v>
      </c>
      <c r="D100" s="34" t="s">
        <v>29</v>
      </c>
      <c r="E100" s="33">
        <f>E101</f>
        <v>281.6</v>
      </c>
      <c r="F100" s="33">
        <f>F101</f>
        <v>600</v>
      </c>
      <c r="G100" s="33">
        <v>350</v>
      </c>
      <c r="H100" s="33">
        <f>H101</f>
        <v>399</v>
      </c>
      <c r="I100" s="33">
        <f t="shared" si="5"/>
        <v>49</v>
      </c>
      <c r="J100" s="33">
        <f t="shared" si="8"/>
        <v>113.99999999999999</v>
      </c>
      <c r="K100" s="33">
        <f t="shared" si="9"/>
        <v>66.5</v>
      </c>
      <c r="L100" s="33">
        <f t="shared" si="6"/>
        <v>117.39999999999998</v>
      </c>
      <c r="M100" s="33">
        <f t="shared" si="7"/>
        <v>141.6903409090909</v>
      </c>
    </row>
    <row r="101" spans="1:13" ht="47.25" hidden="1">
      <c r="A101" s="108"/>
      <c r="B101" s="108"/>
      <c r="C101" s="22" t="s">
        <v>32</v>
      </c>
      <c r="D101" s="36" t="s">
        <v>33</v>
      </c>
      <c r="E101" s="33">
        <v>281.6</v>
      </c>
      <c r="F101" s="33">
        <v>600</v>
      </c>
      <c r="G101" s="33">
        <v>300</v>
      </c>
      <c r="H101" s="33">
        <v>399</v>
      </c>
      <c r="I101" s="33">
        <f t="shared" si="5"/>
        <v>99</v>
      </c>
      <c r="J101" s="33">
        <f t="shared" si="8"/>
        <v>133</v>
      </c>
      <c r="K101" s="33">
        <f t="shared" si="9"/>
        <v>66.5</v>
      </c>
      <c r="L101" s="33">
        <f t="shared" si="6"/>
        <v>117.39999999999998</v>
      </c>
      <c r="M101" s="33">
        <f t="shared" si="7"/>
        <v>141.6903409090909</v>
      </c>
    </row>
    <row r="102" spans="1:13" s="5" customFormat="1" ht="15.75">
      <c r="A102" s="108"/>
      <c r="B102" s="108"/>
      <c r="C102" s="24"/>
      <c r="D102" s="3" t="s">
        <v>47</v>
      </c>
      <c r="E102" s="4">
        <f>SUM(E100)</f>
        <v>281.6</v>
      </c>
      <c r="F102" s="4">
        <f>SUM(F100)</f>
        <v>600</v>
      </c>
      <c r="G102" s="4">
        <f>SUM(G100)</f>
        <v>350</v>
      </c>
      <c r="H102" s="4">
        <f>SUM(H100)</f>
        <v>399</v>
      </c>
      <c r="I102" s="4">
        <f t="shared" si="5"/>
        <v>49</v>
      </c>
      <c r="J102" s="4">
        <f t="shared" si="8"/>
        <v>113.99999999999999</v>
      </c>
      <c r="K102" s="4">
        <f t="shared" si="9"/>
        <v>66.5</v>
      </c>
      <c r="L102" s="4">
        <f t="shared" si="6"/>
        <v>117.39999999999998</v>
      </c>
      <c r="M102" s="4">
        <f t="shared" si="7"/>
        <v>141.6903409090909</v>
      </c>
    </row>
    <row r="103" spans="1:13" s="5" customFormat="1" ht="31.5">
      <c r="A103" s="108"/>
      <c r="B103" s="108"/>
      <c r="C103" s="24"/>
      <c r="D103" s="3" t="s">
        <v>48</v>
      </c>
      <c r="E103" s="4">
        <f>E104-E98</f>
        <v>125748.00000000001</v>
      </c>
      <c r="F103" s="4">
        <f>F104-F98</f>
        <v>832681.7</v>
      </c>
      <c r="G103" s="4">
        <f>G104-G98</f>
        <v>282346.2</v>
      </c>
      <c r="H103" s="4">
        <f>H104-H98</f>
        <v>258013.2</v>
      </c>
      <c r="I103" s="4">
        <f t="shared" si="5"/>
        <v>-24333</v>
      </c>
      <c r="J103" s="4">
        <f t="shared" si="8"/>
        <v>91.38185674182971</v>
      </c>
      <c r="K103" s="4">
        <f t="shared" si="9"/>
        <v>30.985813666854938</v>
      </c>
      <c r="L103" s="4">
        <f t="shared" si="6"/>
        <v>132265.2</v>
      </c>
      <c r="M103" s="4">
        <f t="shared" si="7"/>
        <v>205.18274644527148</v>
      </c>
    </row>
    <row r="104" spans="1:13" s="5" customFormat="1" ht="15.75">
      <c r="A104" s="109"/>
      <c r="B104" s="109"/>
      <c r="C104" s="24"/>
      <c r="D104" s="3" t="s">
        <v>67</v>
      </c>
      <c r="E104" s="4">
        <f>E99+E102</f>
        <v>125697.60000000002</v>
      </c>
      <c r="F104" s="4">
        <f>F99+F102</f>
        <v>832681.7</v>
      </c>
      <c r="G104" s="4">
        <f>G99+G102</f>
        <v>282346.2</v>
      </c>
      <c r="H104" s="4">
        <f>H99+H102</f>
        <v>257676.2</v>
      </c>
      <c r="I104" s="4">
        <f t="shared" si="5"/>
        <v>-24670</v>
      </c>
      <c r="J104" s="4">
        <f t="shared" si="8"/>
        <v>91.26249972551427</v>
      </c>
      <c r="K104" s="4">
        <f t="shared" si="9"/>
        <v>30.945342019645683</v>
      </c>
      <c r="L104" s="4">
        <f t="shared" si="6"/>
        <v>131978.59999999998</v>
      </c>
      <c r="M104" s="4">
        <f t="shared" si="7"/>
        <v>204.9969132266646</v>
      </c>
    </row>
    <row r="105" spans="1:13" s="5" customFormat="1" ht="15.75">
      <c r="A105" s="100" t="s">
        <v>92</v>
      </c>
      <c r="B105" s="103" t="s">
        <v>93</v>
      </c>
      <c r="C105" s="23" t="s">
        <v>14</v>
      </c>
      <c r="D105" s="46" t="s">
        <v>15</v>
      </c>
      <c r="E105" s="33"/>
      <c r="F105" s="4"/>
      <c r="G105" s="4"/>
      <c r="H105" s="33">
        <v>115</v>
      </c>
      <c r="I105" s="33">
        <f t="shared" si="5"/>
        <v>115</v>
      </c>
      <c r="J105" s="33"/>
      <c r="K105" s="33"/>
      <c r="L105" s="33">
        <f t="shared" si="6"/>
        <v>115</v>
      </c>
      <c r="M105" s="33"/>
    </row>
    <row r="106" spans="1:13" s="5" customFormat="1" ht="31.5">
      <c r="A106" s="104"/>
      <c r="B106" s="106"/>
      <c r="C106" s="23" t="s">
        <v>20</v>
      </c>
      <c r="D106" s="47" t="s">
        <v>21</v>
      </c>
      <c r="E106" s="33">
        <v>299.8</v>
      </c>
      <c r="F106" s="4"/>
      <c r="G106" s="4"/>
      <c r="H106" s="33">
        <v>118.3</v>
      </c>
      <c r="I106" s="33">
        <f t="shared" si="5"/>
        <v>118.3</v>
      </c>
      <c r="J106" s="33"/>
      <c r="K106" s="33"/>
      <c r="L106" s="33">
        <f t="shared" si="6"/>
        <v>-181.5</v>
      </c>
      <c r="M106" s="33">
        <f t="shared" si="7"/>
        <v>39.459639759839895</v>
      </c>
    </row>
    <row r="107" spans="1:13" s="5" customFormat="1" ht="94.5">
      <c r="A107" s="104"/>
      <c r="B107" s="106"/>
      <c r="C107" s="22" t="s">
        <v>22</v>
      </c>
      <c r="D107" s="48" t="s">
        <v>23</v>
      </c>
      <c r="E107" s="33">
        <v>9.3</v>
      </c>
      <c r="F107" s="4"/>
      <c r="G107" s="4"/>
      <c r="H107" s="33">
        <v>15.7</v>
      </c>
      <c r="I107" s="33">
        <f t="shared" si="5"/>
        <v>15.7</v>
      </c>
      <c r="J107" s="33"/>
      <c r="K107" s="33"/>
      <c r="L107" s="33">
        <f t="shared" si="6"/>
        <v>6.399999999999999</v>
      </c>
      <c r="M107" s="33">
        <f t="shared" si="7"/>
        <v>168.81720430107526</v>
      </c>
    </row>
    <row r="108" spans="1:13" ht="15.75" hidden="1">
      <c r="A108" s="108"/>
      <c r="B108" s="108"/>
      <c r="C108" s="23" t="s">
        <v>28</v>
      </c>
      <c r="D108" s="34" t="s">
        <v>29</v>
      </c>
      <c r="E108" s="33">
        <f>SUM(E109:E110)</f>
        <v>0</v>
      </c>
      <c r="F108" s="33">
        <f>SUM(F109:F110)</f>
        <v>0</v>
      </c>
      <c r="G108" s="33">
        <f>SUM(G109:G110)</f>
        <v>0</v>
      </c>
      <c r="H108" s="33">
        <f>SUM(H109:H110)</f>
        <v>0</v>
      </c>
      <c r="I108" s="33">
        <f t="shared" si="5"/>
        <v>0</v>
      </c>
      <c r="J108" s="33" t="e">
        <f t="shared" si="8"/>
        <v>#DIV/0!</v>
      </c>
      <c r="K108" s="33" t="e">
        <f t="shared" si="9"/>
        <v>#DIV/0!</v>
      </c>
      <c r="L108" s="33">
        <f t="shared" si="6"/>
        <v>0</v>
      </c>
      <c r="M108" s="33" t="e">
        <f t="shared" si="7"/>
        <v>#DIV/0!</v>
      </c>
    </row>
    <row r="109" spans="1:13" ht="31.5" hidden="1">
      <c r="A109" s="108"/>
      <c r="B109" s="108"/>
      <c r="C109" s="22" t="s">
        <v>52</v>
      </c>
      <c r="D109" s="36" t="s">
        <v>53</v>
      </c>
      <c r="E109" s="33"/>
      <c r="F109" s="33"/>
      <c r="G109" s="33"/>
      <c r="H109" s="33"/>
      <c r="I109" s="33">
        <f t="shared" si="5"/>
        <v>0</v>
      </c>
      <c r="J109" s="33" t="e">
        <f t="shared" si="8"/>
        <v>#DIV/0!</v>
      </c>
      <c r="K109" s="33" t="e">
        <f t="shared" si="9"/>
        <v>#DIV/0!</v>
      </c>
      <c r="L109" s="33">
        <f t="shared" si="6"/>
        <v>0</v>
      </c>
      <c r="M109" s="33" t="e">
        <f t="shared" si="7"/>
        <v>#DIV/0!</v>
      </c>
    </row>
    <row r="110" spans="1:13" ht="47.25" hidden="1">
      <c r="A110" s="108"/>
      <c r="B110" s="108"/>
      <c r="C110" s="22" t="s">
        <v>32</v>
      </c>
      <c r="D110" s="36" t="s">
        <v>33</v>
      </c>
      <c r="E110" s="33"/>
      <c r="F110" s="33"/>
      <c r="G110" s="33"/>
      <c r="H110" s="33"/>
      <c r="I110" s="33">
        <f t="shared" si="5"/>
        <v>0</v>
      </c>
      <c r="J110" s="33" t="e">
        <f t="shared" si="8"/>
        <v>#DIV/0!</v>
      </c>
      <c r="K110" s="33" t="e">
        <f t="shared" si="9"/>
        <v>#DIV/0!</v>
      </c>
      <c r="L110" s="33">
        <f t="shared" si="6"/>
        <v>0</v>
      </c>
      <c r="M110" s="33" t="e">
        <f t="shared" si="7"/>
        <v>#DIV/0!</v>
      </c>
    </row>
    <row r="111" spans="1:13" ht="15.75">
      <c r="A111" s="108"/>
      <c r="B111" s="108"/>
      <c r="C111" s="23" t="s">
        <v>34</v>
      </c>
      <c r="D111" s="34" t="s">
        <v>35</v>
      </c>
      <c r="E111" s="33">
        <v>339.8</v>
      </c>
      <c r="F111" s="33"/>
      <c r="G111" s="33"/>
      <c r="H111" s="33"/>
      <c r="I111" s="33">
        <f t="shared" si="5"/>
        <v>0</v>
      </c>
      <c r="J111" s="33"/>
      <c r="K111" s="33"/>
      <c r="L111" s="33">
        <f t="shared" si="6"/>
        <v>-339.8</v>
      </c>
      <c r="M111" s="33">
        <f t="shared" si="7"/>
        <v>0</v>
      </c>
    </row>
    <row r="112" spans="1:13" ht="15.75" hidden="1">
      <c r="A112" s="108"/>
      <c r="B112" s="108"/>
      <c r="C112" s="23" t="s">
        <v>36</v>
      </c>
      <c r="D112" s="34" t="s">
        <v>37</v>
      </c>
      <c r="E112" s="33"/>
      <c r="F112" s="33"/>
      <c r="G112" s="33"/>
      <c r="H112" s="33"/>
      <c r="I112" s="33">
        <f t="shared" si="5"/>
        <v>0</v>
      </c>
      <c r="J112" s="33" t="e">
        <f t="shared" si="8"/>
        <v>#DIV/0!</v>
      </c>
      <c r="K112" s="33" t="e">
        <f t="shared" si="9"/>
        <v>#DIV/0!</v>
      </c>
      <c r="L112" s="33">
        <f t="shared" si="6"/>
        <v>0</v>
      </c>
      <c r="M112" s="33" t="e">
        <f t="shared" si="7"/>
        <v>#DIV/0!</v>
      </c>
    </row>
    <row r="113" spans="1:13" ht="15.75">
      <c r="A113" s="108"/>
      <c r="B113" s="108"/>
      <c r="C113" s="23" t="s">
        <v>39</v>
      </c>
      <c r="D113" s="34" t="s">
        <v>40</v>
      </c>
      <c r="E113" s="33">
        <v>448.3</v>
      </c>
      <c r="F113" s="33">
        <v>803.3</v>
      </c>
      <c r="G113" s="33">
        <v>568.4</v>
      </c>
      <c r="H113" s="33">
        <v>503.3</v>
      </c>
      <c r="I113" s="33">
        <f t="shared" si="5"/>
        <v>-65.09999999999997</v>
      </c>
      <c r="J113" s="33">
        <f t="shared" si="8"/>
        <v>88.54679802955665</v>
      </c>
      <c r="K113" s="33">
        <f t="shared" si="9"/>
        <v>62.65405203535417</v>
      </c>
      <c r="L113" s="33">
        <f t="shared" si="6"/>
        <v>55</v>
      </c>
      <c r="M113" s="33">
        <f t="shared" si="7"/>
        <v>112.26857015391478</v>
      </c>
    </row>
    <row r="114" spans="1:13" ht="15.75">
      <c r="A114" s="108"/>
      <c r="B114" s="108"/>
      <c r="C114" s="23" t="s">
        <v>41</v>
      </c>
      <c r="D114" s="34" t="s">
        <v>91</v>
      </c>
      <c r="E114" s="33">
        <v>283.8</v>
      </c>
      <c r="F114" s="33"/>
      <c r="G114" s="33"/>
      <c r="H114" s="33"/>
      <c r="I114" s="33">
        <f t="shared" si="5"/>
        <v>0</v>
      </c>
      <c r="J114" s="33"/>
      <c r="K114" s="33"/>
      <c r="L114" s="33">
        <f t="shared" si="6"/>
        <v>-283.8</v>
      </c>
      <c r="M114" s="33">
        <f t="shared" si="7"/>
        <v>0</v>
      </c>
    </row>
    <row r="115" spans="1:13" ht="15.75">
      <c r="A115" s="108"/>
      <c r="B115" s="108"/>
      <c r="C115" s="23" t="s">
        <v>59</v>
      </c>
      <c r="D115" s="36" t="s">
        <v>60</v>
      </c>
      <c r="E115" s="33"/>
      <c r="F115" s="33">
        <v>2433.9</v>
      </c>
      <c r="G115" s="33">
        <v>811.3</v>
      </c>
      <c r="H115" s="33"/>
      <c r="I115" s="33">
        <f t="shared" si="5"/>
        <v>-811.3</v>
      </c>
      <c r="J115" s="33"/>
      <c r="K115" s="33">
        <f t="shared" si="9"/>
        <v>0</v>
      </c>
      <c r="L115" s="33">
        <f t="shared" si="6"/>
        <v>0</v>
      </c>
      <c r="M115" s="33"/>
    </row>
    <row r="116" spans="1:13" ht="15.75">
      <c r="A116" s="108"/>
      <c r="B116" s="108"/>
      <c r="C116" s="23" t="s">
        <v>43</v>
      </c>
      <c r="D116" s="34" t="s">
        <v>38</v>
      </c>
      <c r="E116" s="33">
        <v>-2</v>
      </c>
      <c r="F116" s="33"/>
      <c r="G116" s="33"/>
      <c r="H116" s="33"/>
      <c r="I116" s="33">
        <f t="shared" si="5"/>
        <v>0</v>
      </c>
      <c r="J116" s="33"/>
      <c r="K116" s="33"/>
      <c r="L116" s="33">
        <f t="shared" si="6"/>
        <v>2</v>
      </c>
      <c r="M116" s="33">
        <f t="shared" si="7"/>
        <v>0</v>
      </c>
    </row>
    <row r="117" spans="1:13" s="5" customFormat="1" ht="15.75">
      <c r="A117" s="108"/>
      <c r="B117" s="108"/>
      <c r="C117" s="25"/>
      <c r="D117" s="3" t="s">
        <v>44</v>
      </c>
      <c r="E117" s="4">
        <f>SUM(E105:E108,E111:E116)</f>
        <v>1379</v>
      </c>
      <c r="F117" s="4">
        <f>SUM(F105:F108,F111:F116)</f>
        <v>3237.2</v>
      </c>
      <c r="G117" s="4">
        <f>SUM(G105:G108,G111:G116)</f>
        <v>1379.6999999999998</v>
      </c>
      <c r="H117" s="4">
        <f>SUM(H105:H108,H111:H116)</f>
        <v>752.3</v>
      </c>
      <c r="I117" s="4">
        <f t="shared" si="5"/>
        <v>-627.3999999999999</v>
      </c>
      <c r="J117" s="4">
        <f t="shared" si="8"/>
        <v>54.526346307168225</v>
      </c>
      <c r="K117" s="4">
        <f t="shared" si="9"/>
        <v>23.239219078215744</v>
      </c>
      <c r="L117" s="4">
        <f t="shared" si="6"/>
        <v>-626.7</v>
      </c>
      <c r="M117" s="4">
        <f t="shared" si="7"/>
        <v>54.554024655547494</v>
      </c>
    </row>
    <row r="118" spans="1:13" ht="15.75">
      <c r="A118" s="108"/>
      <c r="B118" s="108"/>
      <c r="C118" s="23" t="s">
        <v>28</v>
      </c>
      <c r="D118" s="34" t="s">
        <v>29</v>
      </c>
      <c r="E118" s="33">
        <f>E119</f>
        <v>0</v>
      </c>
      <c r="F118" s="33">
        <f>F119</f>
        <v>0</v>
      </c>
      <c r="G118" s="33">
        <f>G119</f>
        <v>0</v>
      </c>
      <c r="H118" s="33">
        <f>H119</f>
        <v>5</v>
      </c>
      <c r="I118" s="33">
        <f t="shared" si="5"/>
        <v>5</v>
      </c>
      <c r="J118" s="33"/>
      <c r="K118" s="33"/>
      <c r="L118" s="33">
        <f t="shared" si="6"/>
        <v>5</v>
      </c>
      <c r="M118" s="33"/>
    </row>
    <row r="119" spans="1:13" ht="47.25" hidden="1">
      <c r="A119" s="108"/>
      <c r="B119" s="108"/>
      <c r="C119" s="22" t="s">
        <v>32</v>
      </c>
      <c r="D119" s="36" t="s">
        <v>33</v>
      </c>
      <c r="E119" s="33"/>
      <c r="F119" s="33"/>
      <c r="G119" s="33"/>
      <c r="H119" s="33">
        <v>5</v>
      </c>
      <c r="I119" s="33">
        <f t="shared" si="5"/>
        <v>5</v>
      </c>
      <c r="J119" s="33"/>
      <c r="K119" s="33"/>
      <c r="L119" s="33">
        <f t="shared" si="6"/>
        <v>5</v>
      </c>
      <c r="M119" s="33"/>
    </row>
    <row r="120" spans="1:13" s="5" customFormat="1" ht="15.75">
      <c r="A120" s="108"/>
      <c r="B120" s="108"/>
      <c r="C120" s="27"/>
      <c r="D120" s="3" t="s">
        <v>47</v>
      </c>
      <c r="E120" s="4">
        <f>E118</f>
        <v>0</v>
      </c>
      <c r="F120" s="4">
        <f>F118</f>
        <v>0</v>
      </c>
      <c r="G120" s="4">
        <f>G118</f>
        <v>0</v>
      </c>
      <c r="H120" s="4">
        <f>H118</f>
        <v>5</v>
      </c>
      <c r="I120" s="4">
        <f t="shared" si="5"/>
        <v>5</v>
      </c>
      <c r="J120" s="4"/>
      <c r="K120" s="4"/>
      <c r="L120" s="4">
        <f t="shared" si="6"/>
        <v>5</v>
      </c>
      <c r="M120" s="4"/>
    </row>
    <row r="121" spans="1:13" s="5" customFormat="1" ht="31.5">
      <c r="A121" s="108"/>
      <c r="B121" s="108"/>
      <c r="C121" s="25"/>
      <c r="D121" s="3" t="s">
        <v>48</v>
      </c>
      <c r="E121" s="4">
        <f>E122-E116</f>
        <v>1381</v>
      </c>
      <c r="F121" s="4">
        <f>F122-F116</f>
        <v>3237.2</v>
      </c>
      <c r="G121" s="4">
        <f>G122-G116</f>
        <v>1379.6999999999998</v>
      </c>
      <c r="H121" s="4">
        <f>H122-H116</f>
        <v>757.3</v>
      </c>
      <c r="I121" s="4">
        <f t="shared" si="5"/>
        <v>-622.3999999999999</v>
      </c>
      <c r="J121" s="4">
        <f t="shared" si="8"/>
        <v>54.88874392983982</v>
      </c>
      <c r="K121" s="4">
        <f t="shared" si="9"/>
        <v>23.393673545038922</v>
      </c>
      <c r="L121" s="4">
        <f t="shared" si="6"/>
        <v>-623.7</v>
      </c>
      <c r="M121" s="4">
        <f t="shared" si="7"/>
        <v>54.83707458363505</v>
      </c>
    </row>
    <row r="122" spans="1:13" s="5" customFormat="1" ht="15.75">
      <c r="A122" s="109"/>
      <c r="B122" s="109"/>
      <c r="C122" s="19"/>
      <c r="D122" s="3" t="s">
        <v>67</v>
      </c>
      <c r="E122" s="4">
        <f>E117+E120</f>
        <v>1379</v>
      </c>
      <c r="F122" s="4">
        <f>F117+F120</f>
        <v>3237.2</v>
      </c>
      <c r="G122" s="4">
        <f>G117+G120</f>
        <v>1379.6999999999998</v>
      </c>
      <c r="H122" s="4">
        <f>H117+H120</f>
        <v>757.3</v>
      </c>
      <c r="I122" s="4">
        <f t="shared" si="5"/>
        <v>-622.3999999999999</v>
      </c>
      <c r="J122" s="4">
        <f t="shared" si="8"/>
        <v>54.88874392983982</v>
      </c>
      <c r="K122" s="4">
        <f t="shared" si="9"/>
        <v>23.393673545038922</v>
      </c>
      <c r="L122" s="4">
        <f t="shared" si="6"/>
        <v>-621.7</v>
      </c>
      <c r="M122" s="4">
        <f t="shared" si="7"/>
        <v>54.91660623640319</v>
      </c>
    </row>
    <row r="123" spans="1:13" s="5" customFormat="1" ht="31.5">
      <c r="A123" s="103">
        <v>926</v>
      </c>
      <c r="B123" s="103" t="s">
        <v>94</v>
      </c>
      <c r="C123" s="23" t="s">
        <v>20</v>
      </c>
      <c r="D123" s="47" t="s">
        <v>21</v>
      </c>
      <c r="E123" s="33">
        <v>21.2</v>
      </c>
      <c r="F123" s="33"/>
      <c r="G123" s="33"/>
      <c r="H123" s="33"/>
      <c r="I123" s="33">
        <f t="shared" si="5"/>
        <v>0</v>
      </c>
      <c r="J123" s="33"/>
      <c r="K123" s="33"/>
      <c r="L123" s="33">
        <f t="shared" si="6"/>
        <v>-21.2</v>
      </c>
      <c r="M123" s="33">
        <f t="shared" si="7"/>
        <v>0</v>
      </c>
    </row>
    <row r="124" spans="1:13" s="5" customFormat="1" ht="15.75">
      <c r="A124" s="106"/>
      <c r="B124" s="106"/>
      <c r="C124" s="23" t="s">
        <v>34</v>
      </c>
      <c r="D124" s="34" t="s">
        <v>35</v>
      </c>
      <c r="E124" s="33">
        <v>22.3</v>
      </c>
      <c r="F124" s="33"/>
      <c r="G124" s="33"/>
      <c r="H124" s="33"/>
      <c r="I124" s="33">
        <f t="shared" si="5"/>
        <v>0</v>
      </c>
      <c r="J124" s="33"/>
      <c r="K124" s="33"/>
      <c r="L124" s="33">
        <f t="shared" si="6"/>
        <v>-22.3</v>
      </c>
      <c r="M124" s="33">
        <f t="shared" si="7"/>
        <v>0</v>
      </c>
    </row>
    <row r="125" spans="1:13" s="5" customFormat="1" ht="15.75">
      <c r="A125" s="106"/>
      <c r="B125" s="106"/>
      <c r="C125" s="23" t="s">
        <v>39</v>
      </c>
      <c r="D125" s="34" t="s">
        <v>40</v>
      </c>
      <c r="E125" s="33"/>
      <c r="F125" s="33">
        <v>14.4</v>
      </c>
      <c r="G125" s="33">
        <v>14.4</v>
      </c>
      <c r="H125" s="33">
        <v>14.4</v>
      </c>
      <c r="I125" s="33">
        <f t="shared" si="5"/>
        <v>0</v>
      </c>
      <c r="J125" s="33">
        <f t="shared" si="8"/>
        <v>100</v>
      </c>
      <c r="K125" s="33">
        <f t="shared" si="9"/>
        <v>100</v>
      </c>
      <c r="L125" s="33">
        <f t="shared" si="6"/>
        <v>14.4</v>
      </c>
      <c r="M125" s="33"/>
    </row>
    <row r="126" spans="1:13" s="5" customFormat="1" ht="15.75">
      <c r="A126" s="106"/>
      <c r="B126" s="106"/>
      <c r="C126" s="23" t="s">
        <v>41</v>
      </c>
      <c r="D126" s="34" t="s">
        <v>91</v>
      </c>
      <c r="E126" s="33">
        <v>16.7</v>
      </c>
      <c r="F126" s="33"/>
      <c r="G126" s="33"/>
      <c r="H126" s="33"/>
      <c r="I126" s="33">
        <f t="shared" si="5"/>
        <v>0</v>
      </c>
      <c r="J126" s="33"/>
      <c r="K126" s="33"/>
      <c r="L126" s="33">
        <f t="shared" si="6"/>
        <v>-16.7</v>
      </c>
      <c r="M126" s="33">
        <f t="shared" si="7"/>
        <v>0</v>
      </c>
    </row>
    <row r="127" spans="1:13" s="5" customFormat="1" ht="15.75">
      <c r="A127" s="107"/>
      <c r="B127" s="107"/>
      <c r="C127" s="19"/>
      <c r="D127" s="3" t="s">
        <v>67</v>
      </c>
      <c r="E127" s="4">
        <f>SUM(E123:E126)</f>
        <v>60.2</v>
      </c>
      <c r="F127" s="4">
        <f>SUM(F123:F126)</f>
        <v>14.4</v>
      </c>
      <c r="G127" s="4">
        <f>SUM(G123:G126)</f>
        <v>14.4</v>
      </c>
      <c r="H127" s="4">
        <f>SUM(H123:H126)</f>
        <v>14.4</v>
      </c>
      <c r="I127" s="4">
        <f t="shared" si="5"/>
        <v>0</v>
      </c>
      <c r="J127" s="4">
        <f t="shared" si="8"/>
        <v>100</v>
      </c>
      <c r="K127" s="4">
        <f t="shared" si="9"/>
        <v>100</v>
      </c>
      <c r="L127" s="4">
        <f t="shared" si="6"/>
        <v>-45.800000000000004</v>
      </c>
      <c r="M127" s="4">
        <f t="shared" si="7"/>
        <v>23.920265780730894</v>
      </c>
    </row>
    <row r="128" spans="1:13" ht="15.75">
      <c r="A128" s="110" t="s">
        <v>95</v>
      </c>
      <c r="B128" s="111" t="s">
        <v>96</v>
      </c>
      <c r="C128" s="23" t="s">
        <v>14</v>
      </c>
      <c r="D128" s="46" t="s">
        <v>15</v>
      </c>
      <c r="E128" s="52"/>
      <c r="F128" s="52"/>
      <c r="G128" s="52"/>
      <c r="H128" s="52">
        <v>3400.7</v>
      </c>
      <c r="I128" s="52">
        <f t="shared" si="5"/>
        <v>3400.7</v>
      </c>
      <c r="J128" s="52"/>
      <c r="K128" s="52"/>
      <c r="L128" s="52">
        <f t="shared" si="6"/>
        <v>3400.7</v>
      </c>
      <c r="M128" s="52"/>
    </row>
    <row r="129" spans="1:13" ht="31.5">
      <c r="A129" s="110"/>
      <c r="B129" s="111"/>
      <c r="C129" s="23" t="s">
        <v>20</v>
      </c>
      <c r="D129" s="47" t="s">
        <v>21</v>
      </c>
      <c r="E129" s="52">
        <v>5608.3</v>
      </c>
      <c r="F129" s="52"/>
      <c r="G129" s="52"/>
      <c r="H129" s="52">
        <v>4526.5</v>
      </c>
      <c r="I129" s="52">
        <f t="shared" si="5"/>
        <v>4526.5</v>
      </c>
      <c r="J129" s="52"/>
      <c r="K129" s="52"/>
      <c r="L129" s="52">
        <f t="shared" si="6"/>
        <v>-1081.8000000000002</v>
      </c>
      <c r="M129" s="52">
        <f t="shared" si="7"/>
        <v>80.71073230747285</v>
      </c>
    </row>
    <row r="130" spans="1:13" ht="15.75">
      <c r="A130" s="110"/>
      <c r="B130" s="111"/>
      <c r="C130" s="23" t="s">
        <v>28</v>
      </c>
      <c r="D130" s="34" t="s">
        <v>29</v>
      </c>
      <c r="E130" s="52">
        <f>E132+E131</f>
        <v>854.9</v>
      </c>
      <c r="F130" s="52">
        <f>F132+F131</f>
        <v>0</v>
      </c>
      <c r="G130" s="52">
        <f>G132+G131</f>
        <v>0</v>
      </c>
      <c r="H130" s="52">
        <f>H132+H131</f>
        <v>280.9</v>
      </c>
      <c r="I130" s="52">
        <f t="shared" si="5"/>
        <v>280.9</v>
      </c>
      <c r="J130" s="52"/>
      <c r="K130" s="52"/>
      <c r="L130" s="52">
        <f t="shared" si="6"/>
        <v>-574</v>
      </c>
      <c r="M130" s="52">
        <f t="shared" si="7"/>
        <v>32.85764416890864</v>
      </c>
    </row>
    <row r="131" spans="1:13" ht="63" hidden="1">
      <c r="A131" s="110"/>
      <c r="B131" s="111"/>
      <c r="C131" s="22" t="s">
        <v>30</v>
      </c>
      <c r="D131" s="49" t="s">
        <v>31</v>
      </c>
      <c r="E131" s="52"/>
      <c r="F131" s="52"/>
      <c r="G131" s="52"/>
      <c r="H131" s="52"/>
      <c r="I131" s="52">
        <f t="shared" si="5"/>
        <v>0</v>
      </c>
      <c r="J131" s="52"/>
      <c r="K131" s="52"/>
      <c r="L131" s="52">
        <f t="shared" si="6"/>
        <v>0</v>
      </c>
      <c r="M131" s="52" t="e">
        <f t="shared" si="7"/>
        <v>#DIV/0!</v>
      </c>
    </row>
    <row r="132" spans="1:13" ht="47.25" hidden="1">
      <c r="A132" s="110"/>
      <c r="B132" s="111"/>
      <c r="C132" s="22" t="s">
        <v>32</v>
      </c>
      <c r="D132" s="36" t="s">
        <v>33</v>
      </c>
      <c r="E132" s="52">
        <v>854.9</v>
      </c>
      <c r="F132" s="52"/>
      <c r="G132" s="52"/>
      <c r="H132" s="52">
        <v>280.9</v>
      </c>
      <c r="I132" s="52">
        <f t="shared" si="5"/>
        <v>280.9</v>
      </c>
      <c r="J132" s="52"/>
      <c r="K132" s="52"/>
      <c r="L132" s="52">
        <f t="shared" si="6"/>
        <v>-574</v>
      </c>
      <c r="M132" s="52">
        <f t="shared" si="7"/>
        <v>32.85764416890864</v>
      </c>
    </row>
    <row r="133" spans="1:13" ht="15.75">
      <c r="A133" s="110"/>
      <c r="B133" s="111"/>
      <c r="C133" s="23" t="s">
        <v>34</v>
      </c>
      <c r="D133" s="34" t="s">
        <v>35</v>
      </c>
      <c r="E133" s="52"/>
      <c r="F133" s="52"/>
      <c r="G133" s="52"/>
      <c r="H133" s="52">
        <v>12.3</v>
      </c>
      <c r="I133" s="52">
        <f t="shared" si="5"/>
        <v>12.3</v>
      </c>
      <c r="J133" s="52"/>
      <c r="K133" s="52"/>
      <c r="L133" s="52">
        <f t="shared" si="6"/>
        <v>12.3</v>
      </c>
      <c r="M133" s="52"/>
    </row>
    <row r="134" spans="1:13" ht="15.75" hidden="1">
      <c r="A134" s="110"/>
      <c r="B134" s="111"/>
      <c r="C134" s="23" t="s">
        <v>36</v>
      </c>
      <c r="D134" s="34" t="s">
        <v>37</v>
      </c>
      <c r="E134" s="52"/>
      <c r="F134" s="52"/>
      <c r="G134" s="52"/>
      <c r="H134" s="52"/>
      <c r="I134" s="52">
        <f t="shared" si="5"/>
        <v>0</v>
      </c>
      <c r="J134" s="52" t="e">
        <f t="shared" si="8"/>
        <v>#DIV/0!</v>
      </c>
      <c r="K134" s="52" t="e">
        <f t="shared" si="9"/>
        <v>#DIV/0!</v>
      </c>
      <c r="L134" s="52">
        <f t="shared" si="6"/>
        <v>0</v>
      </c>
      <c r="M134" s="52" t="e">
        <f t="shared" si="7"/>
        <v>#DIV/0!</v>
      </c>
    </row>
    <row r="135" spans="1:13" ht="15.75">
      <c r="A135" s="110"/>
      <c r="B135" s="111"/>
      <c r="C135" s="23" t="s">
        <v>39</v>
      </c>
      <c r="D135" s="34" t="s">
        <v>40</v>
      </c>
      <c r="E135" s="52">
        <v>12207.3</v>
      </c>
      <c r="F135" s="52">
        <v>245663.5</v>
      </c>
      <c r="G135" s="52">
        <v>45701.3</v>
      </c>
      <c r="H135" s="52">
        <v>50181.6</v>
      </c>
      <c r="I135" s="52">
        <f t="shared" si="5"/>
        <v>4480.299999999996</v>
      </c>
      <c r="J135" s="52">
        <f t="shared" si="8"/>
        <v>109.80344103997042</v>
      </c>
      <c r="K135" s="52">
        <f t="shared" si="9"/>
        <v>20.4269661549233</v>
      </c>
      <c r="L135" s="52">
        <f t="shared" si="6"/>
        <v>37974.3</v>
      </c>
      <c r="M135" s="52">
        <f t="shared" si="7"/>
        <v>411.07861689317053</v>
      </c>
    </row>
    <row r="136" spans="1:13" ht="15.75">
      <c r="A136" s="110"/>
      <c r="B136" s="111"/>
      <c r="C136" s="23" t="s">
        <v>41</v>
      </c>
      <c r="D136" s="34" t="s">
        <v>91</v>
      </c>
      <c r="E136" s="52">
        <v>1320859.3</v>
      </c>
      <c r="F136" s="52">
        <v>2344735.5</v>
      </c>
      <c r="G136" s="52">
        <f>46984.7+1386634.7+43246.6</f>
        <v>1476866</v>
      </c>
      <c r="H136" s="52">
        <f>48532.9+1479483.4+46000</f>
        <v>1574016.2999999998</v>
      </c>
      <c r="I136" s="52">
        <f t="shared" si="5"/>
        <v>97150.29999999981</v>
      </c>
      <c r="J136" s="52">
        <f t="shared" si="8"/>
        <v>106.57813911350114</v>
      </c>
      <c r="K136" s="52">
        <f t="shared" si="9"/>
        <v>67.12980206082946</v>
      </c>
      <c r="L136" s="52">
        <f t="shared" si="6"/>
        <v>253156.99999999977</v>
      </c>
      <c r="M136" s="52">
        <f t="shared" si="7"/>
        <v>119.16608377591767</v>
      </c>
    </row>
    <row r="137" spans="1:13" ht="15.75">
      <c r="A137" s="110"/>
      <c r="B137" s="111"/>
      <c r="C137" s="23" t="s">
        <v>59</v>
      </c>
      <c r="D137" s="36" t="s">
        <v>60</v>
      </c>
      <c r="E137" s="52">
        <v>5202.8</v>
      </c>
      <c r="F137" s="52">
        <v>9878.6</v>
      </c>
      <c r="G137" s="52">
        <v>5130.4</v>
      </c>
      <c r="H137" s="52">
        <v>5318.8</v>
      </c>
      <c r="I137" s="52">
        <f aca="true" t="shared" si="10" ref="I137:I200">H137-G137</f>
        <v>188.40000000000055</v>
      </c>
      <c r="J137" s="52">
        <f>H137/G137*100</f>
        <v>103.67222828629347</v>
      </c>
      <c r="K137" s="52">
        <f aca="true" t="shared" si="11" ref="K137:K198">H137/F137*100</f>
        <v>53.841637478995</v>
      </c>
      <c r="L137" s="52">
        <f aca="true" t="shared" si="12" ref="L137:L200">H137-E137</f>
        <v>116</v>
      </c>
      <c r="M137" s="52">
        <f aca="true" t="shared" si="13" ref="M137:M200">H137/E137*100</f>
        <v>102.22956869378028</v>
      </c>
    </row>
    <row r="138" spans="1:13" ht="15.75">
      <c r="A138" s="110"/>
      <c r="B138" s="111"/>
      <c r="C138" s="23" t="s">
        <v>43</v>
      </c>
      <c r="D138" s="34" t="s">
        <v>38</v>
      </c>
      <c r="E138" s="52">
        <v>-56243.1</v>
      </c>
      <c r="F138" s="52"/>
      <c r="G138" s="52"/>
      <c r="H138" s="52">
        <v>-20061</v>
      </c>
      <c r="I138" s="52">
        <f t="shared" si="10"/>
        <v>-20061</v>
      </c>
      <c r="J138" s="52"/>
      <c r="K138" s="52"/>
      <c r="L138" s="52">
        <f t="shared" si="12"/>
        <v>36182.1</v>
      </c>
      <c r="M138" s="52">
        <f t="shared" si="13"/>
        <v>35.668375320706005</v>
      </c>
    </row>
    <row r="139" spans="1:13" s="5" customFormat="1" ht="31.5">
      <c r="A139" s="110"/>
      <c r="B139" s="111"/>
      <c r="C139" s="25"/>
      <c r="D139" s="3" t="s">
        <v>48</v>
      </c>
      <c r="E139" s="8">
        <f>E140-E138</f>
        <v>1344732.6</v>
      </c>
      <c r="F139" s="8">
        <f>F140-F138</f>
        <v>2600277.6</v>
      </c>
      <c r="G139" s="8">
        <f>G140-G138</f>
        <v>1527697.7</v>
      </c>
      <c r="H139" s="8">
        <f>H140-H138</f>
        <v>1637737.0999999999</v>
      </c>
      <c r="I139" s="8">
        <f t="shared" si="10"/>
        <v>110039.3999999999</v>
      </c>
      <c r="J139" s="8">
        <f>H139/G139*100</f>
        <v>107.20295644877909</v>
      </c>
      <c r="K139" s="8">
        <f t="shared" si="11"/>
        <v>62.98316379758837</v>
      </c>
      <c r="L139" s="8">
        <f t="shared" si="12"/>
        <v>293004.49999999977</v>
      </c>
      <c r="M139" s="8">
        <f t="shared" si="13"/>
        <v>121.78905308014394</v>
      </c>
    </row>
    <row r="140" spans="1:13" s="5" customFormat="1" ht="15.75">
      <c r="A140" s="110"/>
      <c r="B140" s="111"/>
      <c r="C140" s="19"/>
      <c r="D140" s="3" t="s">
        <v>67</v>
      </c>
      <c r="E140" s="4">
        <f>SUM(E128:E130,E133:E138)</f>
        <v>1288489.5</v>
      </c>
      <c r="F140" s="4">
        <f>SUM(F128:F130,F133:F138)</f>
        <v>2600277.6</v>
      </c>
      <c r="G140" s="4">
        <f>SUM(G128:G130,G133:G138)</f>
        <v>1527697.7</v>
      </c>
      <c r="H140" s="4">
        <f>SUM(H128:H130,H133:H138)</f>
        <v>1617676.0999999999</v>
      </c>
      <c r="I140" s="4">
        <f t="shared" si="10"/>
        <v>89978.3999999999</v>
      </c>
      <c r="J140" s="4">
        <f>H140/G140*100</f>
        <v>105.8898039841259</v>
      </c>
      <c r="K140" s="4">
        <f t="shared" si="11"/>
        <v>62.211669246391224</v>
      </c>
      <c r="L140" s="4">
        <f t="shared" si="12"/>
        <v>329186.59999999986</v>
      </c>
      <c r="M140" s="4">
        <f t="shared" si="13"/>
        <v>125.54825631097498</v>
      </c>
    </row>
    <row r="141" spans="1:13" s="5" customFormat="1" ht="31.5">
      <c r="A141" s="100" t="s">
        <v>97</v>
      </c>
      <c r="B141" s="103" t="s">
        <v>98</v>
      </c>
      <c r="C141" s="23" t="s">
        <v>20</v>
      </c>
      <c r="D141" s="47" t="s">
        <v>21</v>
      </c>
      <c r="E141" s="33"/>
      <c r="F141" s="4"/>
      <c r="G141" s="4"/>
      <c r="H141" s="33">
        <v>14.9</v>
      </c>
      <c r="I141" s="33">
        <f t="shared" si="10"/>
        <v>14.9</v>
      </c>
      <c r="J141" s="33"/>
      <c r="K141" s="33"/>
      <c r="L141" s="33">
        <f t="shared" si="12"/>
        <v>14.9</v>
      </c>
      <c r="M141" s="33"/>
    </row>
    <row r="142" spans="1:13" ht="15.75">
      <c r="A142" s="108"/>
      <c r="B142" s="112"/>
      <c r="C142" s="23" t="s">
        <v>28</v>
      </c>
      <c r="D142" s="34" t="s">
        <v>29</v>
      </c>
      <c r="E142" s="33">
        <f>E144+E143</f>
        <v>7.4</v>
      </c>
      <c r="F142" s="33">
        <f>F144+F143</f>
        <v>0</v>
      </c>
      <c r="G142" s="33">
        <f>G144+G143</f>
        <v>0</v>
      </c>
      <c r="H142" s="33">
        <f>H144+H143</f>
        <v>6.5</v>
      </c>
      <c r="I142" s="33">
        <f t="shared" si="10"/>
        <v>6.5</v>
      </c>
      <c r="J142" s="33"/>
      <c r="K142" s="33"/>
      <c r="L142" s="33">
        <f t="shared" si="12"/>
        <v>-0.9000000000000004</v>
      </c>
      <c r="M142" s="33">
        <f t="shared" si="13"/>
        <v>87.83783783783782</v>
      </c>
    </row>
    <row r="143" spans="1:13" ht="63" hidden="1">
      <c r="A143" s="108"/>
      <c r="B143" s="112"/>
      <c r="C143" s="22" t="s">
        <v>30</v>
      </c>
      <c r="D143" s="49" t="s">
        <v>31</v>
      </c>
      <c r="E143" s="33"/>
      <c r="F143" s="33"/>
      <c r="G143" s="33"/>
      <c r="H143" s="33"/>
      <c r="I143" s="33">
        <f t="shared" si="10"/>
        <v>0</v>
      </c>
      <c r="J143" s="33"/>
      <c r="K143" s="33"/>
      <c r="L143" s="33">
        <f t="shared" si="12"/>
        <v>0</v>
      </c>
      <c r="M143" s="33" t="e">
        <f t="shared" si="13"/>
        <v>#DIV/0!</v>
      </c>
    </row>
    <row r="144" spans="1:13" ht="47.25" hidden="1">
      <c r="A144" s="108"/>
      <c r="B144" s="112"/>
      <c r="C144" s="22" t="s">
        <v>32</v>
      </c>
      <c r="D144" s="36" t="s">
        <v>33</v>
      </c>
      <c r="E144" s="33">
        <v>7.4</v>
      </c>
      <c r="F144" s="33"/>
      <c r="G144" s="33"/>
      <c r="H144" s="33">
        <v>6.5</v>
      </c>
      <c r="I144" s="33">
        <f t="shared" si="10"/>
        <v>6.5</v>
      </c>
      <c r="J144" s="33"/>
      <c r="K144" s="33"/>
      <c r="L144" s="33">
        <f t="shared" si="12"/>
        <v>-0.9000000000000004</v>
      </c>
      <c r="M144" s="33">
        <f t="shared" si="13"/>
        <v>87.83783783783782</v>
      </c>
    </row>
    <row r="145" spans="1:13" ht="15.75">
      <c r="A145" s="108"/>
      <c r="B145" s="112"/>
      <c r="C145" s="23" t="s">
        <v>34</v>
      </c>
      <c r="D145" s="34" t="s">
        <v>35</v>
      </c>
      <c r="E145" s="33"/>
      <c r="F145" s="33"/>
      <c r="G145" s="33"/>
      <c r="H145" s="33">
        <v>5.1</v>
      </c>
      <c r="I145" s="33">
        <f t="shared" si="10"/>
        <v>5.1</v>
      </c>
      <c r="J145" s="33"/>
      <c r="K145" s="33"/>
      <c r="L145" s="33">
        <f t="shared" si="12"/>
        <v>5.1</v>
      </c>
      <c r="M145" s="33"/>
    </row>
    <row r="146" spans="1:13" ht="15.75">
      <c r="A146" s="108"/>
      <c r="B146" s="112"/>
      <c r="C146" s="23" t="s">
        <v>36</v>
      </c>
      <c r="D146" s="34" t="s">
        <v>37</v>
      </c>
      <c r="E146" s="33">
        <v>1088.8</v>
      </c>
      <c r="F146" s="53">
        <v>836.6</v>
      </c>
      <c r="G146" s="53">
        <v>836.6</v>
      </c>
      <c r="H146" s="33">
        <v>1046.9</v>
      </c>
      <c r="I146" s="33">
        <f t="shared" si="10"/>
        <v>210.30000000000007</v>
      </c>
      <c r="J146" s="33">
        <f>H146/G146*100</f>
        <v>125.13746115228305</v>
      </c>
      <c r="K146" s="33">
        <f t="shared" si="11"/>
        <v>125.13746115228305</v>
      </c>
      <c r="L146" s="33">
        <f t="shared" si="12"/>
        <v>-41.899999999999864</v>
      </c>
      <c r="M146" s="33">
        <f t="shared" si="13"/>
        <v>96.15172667156504</v>
      </c>
    </row>
    <row r="147" spans="1:13" ht="15.75" hidden="1">
      <c r="A147" s="108"/>
      <c r="B147" s="112"/>
      <c r="C147" s="23" t="s">
        <v>39</v>
      </c>
      <c r="D147" s="34" t="s">
        <v>40</v>
      </c>
      <c r="E147" s="54"/>
      <c r="F147" s="33"/>
      <c r="G147" s="33"/>
      <c r="H147" s="33"/>
      <c r="I147" s="54">
        <f t="shared" si="10"/>
        <v>0</v>
      </c>
      <c r="J147" s="54" t="e">
        <f>H147/G147*100</f>
        <v>#DIV/0!</v>
      </c>
      <c r="K147" s="54" t="e">
        <f t="shared" si="11"/>
        <v>#DIV/0!</v>
      </c>
      <c r="L147" s="54">
        <f t="shared" si="12"/>
        <v>0</v>
      </c>
      <c r="M147" s="54" t="e">
        <f t="shared" si="13"/>
        <v>#DIV/0!</v>
      </c>
    </row>
    <row r="148" spans="1:13" ht="15.75">
      <c r="A148" s="108"/>
      <c r="B148" s="112"/>
      <c r="C148" s="23" t="s">
        <v>41</v>
      </c>
      <c r="D148" s="34" t="s">
        <v>91</v>
      </c>
      <c r="E148" s="33">
        <v>2608.8</v>
      </c>
      <c r="F148" s="33">
        <v>3090.9</v>
      </c>
      <c r="G148" s="33">
        <f>1469.6+344.7</f>
        <v>1814.3</v>
      </c>
      <c r="H148" s="33">
        <f>1889.6+394.2</f>
        <v>2283.7999999999997</v>
      </c>
      <c r="I148" s="33">
        <f t="shared" si="10"/>
        <v>469.4999999999998</v>
      </c>
      <c r="J148" s="33">
        <f>H148/G148*100</f>
        <v>125.8777489941024</v>
      </c>
      <c r="K148" s="33">
        <f t="shared" si="11"/>
        <v>73.88786437607169</v>
      </c>
      <c r="L148" s="33">
        <f t="shared" si="12"/>
        <v>-325.00000000000045</v>
      </c>
      <c r="M148" s="33">
        <f t="shared" si="13"/>
        <v>87.54216498006745</v>
      </c>
    </row>
    <row r="149" spans="1:13" ht="15.75">
      <c r="A149" s="108"/>
      <c r="B149" s="112"/>
      <c r="C149" s="23" t="s">
        <v>59</v>
      </c>
      <c r="D149" s="36" t="s">
        <v>60</v>
      </c>
      <c r="E149" s="33">
        <v>3484.7</v>
      </c>
      <c r="F149" s="33"/>
      <c r="G149" s="33"/>
      <c r="H149" s="33"/>
      <c r="I149" s="33">
        <f t="shared" si="10"/>
        <v>0</v>
      </c>
      <c r="J149" s="33"/>
      <c r="K149" s="33"/>
      <c r="L149" s="33">
        <f t="shared" si="12"/>
        <v>-3484.7</v>
      </c>
      <c r="M149" s="33">
        <f t="shared" si="13"/>
        <v>0</v>
      </c>
    </row>
    <row r="150" spans="1:13" ht="15.75">
      <c r="A150" s="108"/>
      <c r="B150" s="112"/>
      <c r="C150" s="23" t="s">
        <v>43</v>
      </c>
      <c r="D150" s="34" t="s">
        <v>38</v>
      </c>
      <c r="E150" s="33">
        <v>-659.7</v>
      </c>
      <c r="F150" s="33"/>
      <c r="G150" s="33"/>
      <c r="H150" s="33">
        <v>-25.6</v>
      </c>
      <c r="I150" s="33">
        <f t="shared" si="10"/>
        <v>-25.6</v>
      </c>
      <c r="J150" s="33"/>
      <c r="K150" s="33"/>
      <c r="L150" s="33">
        <f t="shared" si="12"/>
        <v>634.1</v>
      </c>
      <c r="M150" s="33">
        <f t="shared" si="13"/>
        <v>3.880551765954222</v>
      </c>
    </row>
    <row r="151" spans="1:13" s="5" customFormat="1" ht="31.5">
      <c r="A151" s="108"/>
      <c r="B151" s="112"/>
      <c r="C151" s="25"/>
      <c r="D151" s="3" t="s">
        <v>48</v>
      </c>
      <c r="E151" s="4">
        <f>E152-E150</f>
        <v>7189.7</v>
      </c>
      <c r="F151" s="4">
        <f>F152-F150</f>
        <v>3927.5</v>
      </c>
      <c r="G151" s="4">
        <f>G152-G150</f>
        <v>2650.9</v>
      </c>
      <c r="H151" s="4">
        <f>H152-H150</f>
        <v>3357.2</v>
      </c>
      <c r="I151" s="4">
        <f t="shared" si="10"/>
        <v>706.2999999999997</v>
      </c>
      <c r="J151" s="4">
        <f>H151/G151*100</f>
        <v>126.64378135727488</v>
      </c>
      <c r="K151" s="4">
        <f t="shared" si="11"/>
        <v>85.47931253978356</v>
      </c>
      <c r="L151" s="4">
        <f t="shared" si="12"/>
        <v>-3832.5</v>
      </c>
      <c r="M151" s="4">
        <f t="shared" si="13"/>
        <v>46.69457696426832</v>
      </c>
    </row>
    <row r="152" spans="1:13" s="5" customFormat="1" ht="15.75">
      <c r="A152" s="109"/>
      <c r="B152" s="113"/>
      <c r="C152" s="31"/>
      <c r="D152" s="3" t="s">
        <v>67</v>
      </c>
      <c r="E152" s="8">
        <f>SUM(E141:E142,E145:E150)</f>
        <v>6530</v>
      </c>
      <c r="F152" s="8">
        <f>SUM(F141:F142,F145:F150)</f>
        <v>3927.5</v>
      </c>
      <c r="G152" s="8">
        <f>SUM(G141:G142,G145:G150)</f>
        <v>2650.9</v>
      </c>
      <c r="H152" s="8">
        <f>SUM(H141:H142,H145:H150)</f>
        <v>3331.6</v>
      </c>
      <c r="I152" s="8">
        <f t="shared" si="10"/>
        <v>680.6999999999998</v>
      </c>
      <c r="J152" s="8">
        <f>H152/G152*100</f>
        <v>125.67807159832509</v>
      </c>
      <c r="K152" s="8">
        <f t="shared" si="11"/>
        <v>84.82749840865691</v>
      </c>
      <c r="L152" s="8">
        <f t="shared" si="12"/>
        <v>-3198.4</v>
      </c>
      <c r="M152" s="8">
        <f t="shared" si="13"/>
        <v>51.01990811638591</v>
      </c>
    </row>
    <row r="153" spans="1:13" ht="31.5">
      <c r="A153" s="110" t="s">
        <v>99</v>
      </c>
      <c r="B153" s="111" t="s">
        <v>100</v>
      </c>
      <c r="C153" s="23" t="s">
        <v>20</v>
      </c>
      <c r="D153" s="47" t="s">
        <v>21</v>
      </c>
      <c r="E153" s="33">
        <v>6.1</v>
      </c>
      <c r="F153" s="33"/>
      <c r="G153" s="33"/>
      <c r="H153" s="33">
        <v>92.5</v>
      </c>
      <c r="I153" s="33">
        <f t="shared" si="10"/>
        <v>92.5</v>
      </c>
      <c r="J153" s="33"/>
      <c r="K153" s="33"/>
      <c r="L153" s="33">
        <f t="shared" si="12"/>
        <v>86.4</v>
      </c>
      <c r="M153" s="33">
        <f t="shared" si="13"/>
        <v>1516.393442622951</v>
      </c>
    </row>
    <row r="154" spans="1:13" ht="15.75" hidden="1">
      <c r="A154" s="110"/>
      <c r="B154" s="111"/>
      <c r="C154" s="23" t="s">
        <v>101</v>
      </c>
      <c r="D154" s="34" t="s">
        <v>102</v>
      </c>
      <c r="E154" s="33"/>
      <c r="F154" s="33"/>
      <c r="G154" s="33"/>
      <c r="H154" s="33"/>
      <c r="I154" s="33">
        <f t="shared" si="10"/>
        <v>0</v>
      </c>
      <c r="J154" s="33"/>
      <c r="K154" s="33"/>
      <c r="L154" s="33">
        <f t="shared" si="12"/>
        <v>0</v>
      </c>
      <c r="M154" s="33" t="e">
        <f t="shared" si="13"/>
        <v>#DIV/0!</v>
      </c>
    </row>
    <row r="155" spans="1:13" ht="15.75">
      <c r="A155" s="114"/>
      <c r="B155" s="115"/>
      <c r="C155" s="23" t="s">
        <v>28</v>
      </c>
      <c r="D155" s="34" t="s">
        <v>29</v>
      </c>
      <c r="E155" s="33">
        <f>E157+E156</f>
        <v>2</v>
      </c>
      <c r="F155" s="33">
        <f>F157+F156</f>
        <v>0</v>
      </c>
      <c r="G155" s="33">
        <f>G157+G156</f>
        <v>0</v>
      </c>
      <c r="H155" s="33">
        <f>H157+H156</f>
        <v>510</v>
      </c>
      <c r="I155" s="33">
        <f t="shared" si="10"/>
        <v>510</v>
      </c>
      <c r="J155" s="33"/>
      <c r="K155" s="33"/>
      <c r="L155" s="33">
        <f t="shared" si="12"/>
        <v>508</v>
      </c>
      <c r="M155" s="33">
        <f t="shared" si="13"/>
        <v>25500</v>
      </c>
    </row>
    <row r="156" spans="1:13" ht="63" hidden="1">
      <c r="A156" s="114"/>
      <c r="B156" s="115"/>
      <c r="C156" s="22" t="s">
        <v>30</v>
      </c>
      <c r="D156" s="49" t="s">
        <v>31</v>
      </c>
      <c r="E156" s="33"/>
      <c r="F156" s="33"/>
      <c r="G156" s="33"/>
      <c r="H156" s="33">
        <v>510</v>
      </c>
      <c r="I156" s="33">
        <f t="shared" si="10"/>
        <v>510</v>
      </c>
      <c r="J156" s="33" t="e">
        <f>H156/G156*100</f>
        <v>#DIV/0!</v>
      </c>
      <c r="K156" s="33" t="e">
        <f t="shared" si="11"/>
        <v>#DIV/0!</v>
      </c>
      <c r="L156" s="33">
        <f t="shared" si="12"/>
        <v>510</v>
      </c>
      <c r="M156" s="33" t="e">
        <f t="shared" si="13"/>
        <v>#DIV/0!</v>
      </c>
    </row>
    <row r="157" spans="1:13" ht="47.25" hidden="1">
      <c r="A157" s="114"/>
      <c r="B157" s="115"/>
      <c r="C157" s="22" t="s">
        <v>32</v>
      </c>
      <c r="D157" s="36" t="s">
        <v>33</v>
      </c>
      <c r="E157" s="33">
        <v>2</v>
      </c>
      <c r="F157" s="33"/>
      <c r="G157" s="33"/>
      <c r="H157" s="33"/>
      <c r="I157" s="33">
        <f t="shared" si="10"/>
        <v>0</v>
      </c>
      <c r="J157" s="33" t="e">
        <f>H157/G157*100</f>
        <v>#DIV/0!</v>
      </c>
      <c r="K157" s="33" t="e">
        <f t="shared" si="11"/>
        <v>#DIV/0!</v>
      </c>
      <c r="L157" s="33">
        <f t="shared" si="12"/>
        <v>-2</v>
      </c>
      <c r="M157" s="33">
        <f t="shared" si="13"/>
        <v>0</v>
      </c>
    </row>
    <row r="158" spans="1:13" ht="15.75">
      <c r="A158" s="114"/>
      <c r="B158" s="115"/>
      <c r="C158" s="23" t="s">
        <v>34</v>
      </c>
      <c r="D158" s="34" t="s">
        <v>35</v>
      </c>
      <c r="E158" s="33">
        <v>-2</v>
      </c>
      <c r="F158" s="33"/>
      <c r="G158" s="33"/>
      <c r="H158" s="33"/>
      <c r="I158" s="33">
        <f t="shared" si="10"/>
        <v>0</v>
      </c>
      <c r="J158" s="33"/>
      <c r="K158" s="33"/>
      <c r="L158" s="33">
        <f t="shared" si="12"/>
        <v>2</v>
      </c>
      <c r="M158" s="33">
        <f t="shared" si="13"/>
        <v>0</v>
      </c>
    </row>
    <row r="159" spans="1:13" ht="15.75">
      <c r="A159" s="114"/>
      <c r="B159" s="115"/>
      <c r="C159" s="23" t="s">
        <v>36</v>
      </c>
      <c r="D159" s="34" t="s">
        <v>37</v>
      </c>
      <c r="E159" s="33">
        <v>759.2</v>
      </c>
      <c r="F159" s="33">
        <v>684.9</v>
      </c>
      <c r="G159" s="33">
        <v>379.9</v>
      </c>
      <c r="H159" s="33">
        <v>794.8</v>
      </c>
      <c r="I159" s="33">
        <f t="shared" si="10"/>
        <v>414.9</v>
      </c>
      <c r="J159" s="33">
        <f>H159/G159*100</f>
        <v>209.21295077652013</v>
      </c>
      <c r="K159" s="33">
        <f t="shared" si="11"/>
        <v>116.04613812235363</v>
      </c>
      <c r="L159" s="33">
        <f t="shared" si="12"/>
        <v>35.59999999999991</v>
      </c>
      <c r="M159" s="33">
        <f t="shared" si="13"/>
        <v>104.68914646996839</v>
      </c>
    </row>
    <row r="160" spans="1:13" ht="15.75" hidden="1">
      <c r="A160" s="114"/>
      <c r="B160" s="115"/>
      <c r="C160" s="23" t="s">
        <v>39</v>
      </c>
      <c r="D160" s="34" t="s">
        <v>40</v>
      </c>
      <c r="E160" s="33"/>
      <c r="F160" s="33"/>
      <c r="G160" s="33"/>
      <c r="H160" s="33"/>
      <c r="I160" s="33">
        <f t="shared" si="10"/>
        <v>0</v>
      </c>
      <c r="J160" s="33"/>
      <c r="K160" s="33"/>
      <c r="L160" s="33">
        <f t="shared" si="12"/>
        <v>0</v>
      </c>
      <c r="M160" s="33"/>
    </row>
    <row r="161" spans="1:13" ht="15.75">
      <c r="A161" s="114"/>
      <c r="B161" s="115"/>
      <c r="C161" s="23" t="s">
        <v>41</v>
      </c>
      <c r="D161" s="34" t="s">
        <v>91</v>
      </c>
      <c r="E161" s="33">
        <v>3995.4</v>
      </c>
      <c r="F161" s="33">
        <v>5052</v>
      </c>
      <c r="G161" s="33">
        <f>2046.1+730.3</f>
        <v>2776.3999999999996</v>
      </c>
      <c r="H161" s="33">
        <f>2726.4+1100</f>
        <v>3826.4</v>
      </c>
      <c r="I161" s="33">
        <f t="shared" si="10"/>
        <v>1050.0000000000005</v>
      </c>
      <c r="J161" s="33">
        <f>H161/G161*100</f>
        <v>137.81875810401962</v>
      </c>
      <c r="K161" s="33">
        <f t="shared" si="11"/>
        <v>75.7403008709422</v>
      </c>
      <c r="L161" s="33">
        <f t="shared" si="12"/>
        <v>-169</v>
      </c>
      <c r="M161" s="33">
        <f t="shared" si="13"/>
        <v>95.77013565600441</v>
      </c>
    </row>
    <row r="162" spans="1:13" ht="15.75">
      <c r="A162" s="114"/>
      <c r="B162" s="115"/>
      <c r="C162" s="23" t="s">
        <v>59</v>
      </c>
      <c r="D162" s="36" t="s">
        <v>60</v>
      </c>
      <c r="E162" s="33">
        <v>12917.5</v>
      </c>
      <c r="F162" s="33"/>
      <c r="G162" s="33"/>
      <c r="H162" s="33"/>
      <c r="I162" s="33">
        <f t="shared" si="10"/>
        <v>0</v>
      </c>
      <c r="J162" s="33"/>
      <c r="K162" s="33"/>
      <c r="L162" s="33">
        <f t="shared" si="12"/>
        <v>-12917.5</v>
      </c>
      <c r="M162" s="33">
        <f t="shared" si="13"/>
        <v>0</v>
      </c>
    </row>
    <row r="163" spans="1:13" ht="15.75">
      <c r="A163" s="114"/>
      <c r="B163" s="115"/>
      <c r="C163" s="23" t="s">
        <v>43</v>
      </c>
      <c r="D163" s="34" t="s">
        <v>38</v>
      </c>
      <c r="E163" s="33">
        <v>-679.5</v>
      </c>
      <c r="F163" s="33"/>
      <c r="G163" s="33"/>
      <c r="H163" s="33">
        <v>-247.4</v>
      </c>
      <c r="I163" s="33">
        <f t="shared" si="10"/>
        <v>-247.4</v>
      </c>
      <c r="J163" s="33"/>
      <c r="K163" s="33"/>
      <c r="L163" s="33">
        <f t="shared" si="12"/>
        <v>432.1</v>
      </c>
      <c r="M163" s="33">
        <f t="shared" si="13"/>
        <v>36.409124356144225</v>
      </c>
    </row>
    <row r="164" spans="1:13" s="5" customFormat="1" ht="31.5">
      <c r="A164" s="114"/>
      <c r="B164" s="115"/>
      <c r="C164" s="25"/>
      <c r="D164" s="3" t="s">
        <v>48</v>
      </c>
      <c r="E164" s="4">
        <f>E165-E163</f>
        <v>17678.2</v>
      </c>
      <c r="F164" s="4">
        <f>F165-F163</f>
        <v>5736.9</v>
      </c>
      <c r="G164" s="4">
        <f>G165-G163</f>
        <v>3156.2999999999997</v>
      </c>
      <c r="H164" s="4">
        <f>H165-H163</f>
        <v>5223.7</v>
      </c>
      <c r="I164" s="4">
        <f t="shared" si="10"/>
        <v>2067.4</v>
      </c>
      <c r="J164" s="4">
        <f>H164/G164*100</f>
        <v>165.50074454266073</v>
      </c>
      <c r="K164" s="4">
        <f t="shared" si="11"/>
        <v>91.05440220328052</v>
      </c>
      <c r="L164" s="4">
        <f t="shared" si="12"/>
        <v>-12454.5</v>
      </c>
      <c r="M164" s="4">
        <f t="shared" si="13"/>
        <v>29.548822843954696</v>
      </c>
    </row>
    <row r="165" spans="1:13" s="5" customFormat="1" ht="15.75">
      <c r="A165" s="114"/>
      <c r="B165" s="115"/>
      <c r="C165" s="31"/>
      <c r="D165" s="3" t="s">
        <v>67</v>
      </c>
      <c r="E165" s="8">
        <f>SUM(E153:E155,E158:E163)</f>
        <v>16998.7</v>
      </c>
      <c r="F165" s="8">
        <f>SUM(F153:F155,F158:F163)</f>
        <v>5736.9</v>
      </c>
      <c r="G165" s="8">
        <f>SUM(G153:G155,G158:G163)</f>
        <v>3156.2999999999997</v>
      </c>
      <c r="H165" s="8">
        <f>SUM(H153:H155,H158:H163)</f>
        <v>4976.3</v>
      </c>
      <c r="I165" s="8">
        <f t="shared" si="10"/>
        <v>1820.0000000000005</v>
      </c>
      <c r="J165" s="8">
        <f>H165/G165*100</f>
        <v>157.66245287203373</v>
      </c>
      <c r="K165" s="8">
        <f t="shared" si="11"/>
        <v>86.74196865903188</v>
      </c>
      <c r="L165" s="8">
        <f t="shared" si="12"/>
        <v>-12022.400000000001</v>
      </c>
      <c r="M165" s="8">
        <f t="shared" si="13"/>
        <v>29.274591586415433</v>
      </c>
    </row>
    <row r="166" spans="1:13" ht="31.5">
      <c r="A166" s="110" t="s">
        <v>103</v>
      </c>
      <c r="B166" s="111" t="s">
        <v>104</v>
      </c>
      <c r="C166" s="23" t="s">
        <v>20</v>
      </c>
      <c r="D166" s="47" t="s">
        <v>21</v>
      </c>
      <c r="E166" s="33">
        <v>494.6</v>
      </c>
      <c r="F166" s="33"/>
      <c r="G166" s="33"/>
      <c r="H166" s="33">
        <v>79.7</v>
      </c>
      <c r="I166" s="33">
        <f t="shared" si="10"/>
        <v>79.7</v>
      </c>
      <c r="J166" s="33"/>
      <c r="K166" s="33"/>
      <c r="L166" s="33">
        <f t="shared" si="12"/>
        <v>-414.90000000000003</v>
      </c>
      <c r="M166" s="33">
        <f t="shared" si="13"/>
        <v>16.1140315406389</v>
      </c>
    </row>
    <row r="167" spans="1:13" ht="15.75" hidden="1">
      <c r="A167" s="110"/>
      <c r="B167" s="111"/>
      <c r="C167" s="23" t="s">
        <v>101</v>
      </c>
      <c r="D167" s="34" t="s">
        <v>102</v>
      </c>
      <c r="E167" s="33"/>
      <c r="F167" s="33"/>
      <c r="G167" s="33"/>
      <c r="H167" s="33"/>
      <c r="I167" s="33">
        <f t="shared" si="10"/>
        <v>0</v>
      </c>
      <c r="J167" s="33"/>
      <c r="K167" s="33"/>
      <c r="L167" s="33">
        <f t="shared" si="12"/>
        <v>0</v>
      </c>
      <c r="M167" s="33" t="e">
        <f t="shared" si="13"/>
        <v>#DIV/0!</v>
      </c>
    </row>
    <row r="168" spans="1:13" ht="15.75">
      <c r="A168" s="114"/>
      <c r="B168" s="115"/>
      <c r="C168" s="23" t="s">
        <v>28</v>
      </c>
      <c r="D168" s="34" t="s">
        <v>29</v>
      </c>
      <c r="E168" s="33">
        <f>E169</f>
        <v>291.5</v>
      </c>
      <c r="F168" s="33">
        <f>F169</f>
        <v>0</v>
      </c>
      <c r="G168" s="33">
        <f>G169</f>
        <v>0</v>
      </c>
      <c r="H168" s="33">
        <v>808.1</v>
      </c>
      <c r="I168" s="33">
        <f t="shared" si="10"/>
        <v>808.1</v>
      </c>
      <c r="J168" s="33"/>
      <c r="K168" s="33"/>
      <c r="L168" s="33">
        <f t="shared" si="12"/>
        <v>516.6</v>
      </c>
      <c r="M168" s="33">
        <f t="shared" si="13"/>
        <v>277.221269296741</v>
      </c>
    </row>
    <row r="169" spans="1:13" ht="47.25" hidden="1">
      <c r="A169" s="114"/>
      <c r="B169" s="115"/>
      <c r="C169" s="22" t="s">
        <v>32</v>
      </c>
      <c r="D169" s="36" t="s">
        <v>33</v>
      </c>
      <c r="E169" s="33">
        <v>291.5</v>
      </c>
      <c r="F169" s="33"/>
      <c r="G169" s="33"/>
      <c r="H169" s="33">
        <v>808</v>
      </c>
      <c r="I169" s="33">
        <f t="shared" si="10"/>
        <v>808</v>
      </c>
      <c r="J169" s="33" t="e">
        <f>H169/G169*100</f>
        <v>#DIV/0!</v>
      </c>
      <c r="K169" s="33" t="e">
        <f t="shared" si="11"/>
        <v>#DIV/0!</v>
      </c>
      <c r="L169" s="33">
        <f t="shared" si="12"/>
        <v>516.5</v>
      </c>
      <c r="M169" s="33">
        <f t="shared" si="13"/>
        <v>277.1869639794168</v>
      </c>
    </row>
    <row r="170" spans="1:13" ht="15.75" hidden="1">
      <c r="A170" s="114"/>
      <c r="B170" s="115"/>
      <c r="C170" s="23" t="s">
        <v>34</v>
      </c>
      <c r="D170" s="34" t="s">
        <v>35</v>
      </c>
      <c r="E170" s="33"/>
      <c r="F170" s="33"/>
      <c r="G170" s="33"/>
      <c r="H170" s="33"/>
      <c r="I170" s="33">
        <f t="shared" si="10"/>
        <v>0</v>
      </c>
      <c r="J170" s="33" t="e">
        <f>H170/G170*100</f>
        <v>#DIV/0!</v>
      </c>
      <c r="K170" s="33" t="e">
        <f t="shared" si="11"/>
        <v>#DIV/0!</v>
      </c>
      <c r="L170" s="33">
        <f t="shared" si="12"/>
        <v>0</v>
      </c>
      <c r="M170" s="33" t="e">
        <f t="shared" si="13"/>
        <v>#DIV/0!</v>
      </c>
    </row>
    <row r="171" spans="1:13" ht="15.75">
      <c r="A171" s="114"/>
      <c r="B171" s="115"/>
      <c r="C171" s="23" t="s">
        <v>36</v>
      </c>
      <c r="D171" s="34" t="s">
        <v>37</v>
      </c>
      <c r="E171" s="33">
        <v>660.1</v>
      </c>
      <c r="F171" s="33">
        <v>391.9</v>
      </c>
      <c r="G171" s="33">
        <v>200</v>
      </c>
      <c r="H171" s="33">
        <v>237.4</v>
      </c>
      <c r="I171" s="33">
        <f t="shared" si="10"/>
        <v>37.400000000000006</v>
      </c>
      <c r="J171" s="33"/>
      <c r="K171" s="33">
        <f t="shared" si="11"/>
        <v>60.576677723909164</v>
      </c>
      <c r="L171" s="33">
        <f t="shared" si="12"/>
        <v>-422.70000000000005</v>
      </c>
      <c r="M171" s="33">
        <f t="shared" si="13"/>
        <v>35.96424784123617</v>
      </c>
    </row>
    <row r="172" spans="1:13" ht="15.75" hidden="1">
      <c r="A172" s="114"/>
      <c r="B172" s="115"/>
      <c r="C172" s="23" t="s">
        <v>39</v>
      </c>
      <c r="D172" s="34" t="s">
        <v>40</v>
      </c>
      <c r="E172" s="33"/>
      <c r="F172" s="33"/>
      <c r="G172" s="33"/>
      <c r="H172" s="33"/>
      <c r="I172" s="33">
        <f t="shared" si="10"/>
        <v>0</v>
      </c>
      <c r="J172" s="33" t="e">
        <f>H172/G172*100</f>
        <v>#DIV/0!</v>
      </c>
      <c r="K172" s="33" t="e">
        <f t="shared" si="11"/>
        <v>#DIV/0!</v>
      </c>
      <c r="L172" s="33">
        <f t="shared" si="12"/>
        <v>0</v>
      </c>
      <c r="M172" s="33" t="e">
        <f t="shared" si="13"/>
        <v>#DIV/0!</v>
      </c>
    </row>
    <row r="173" spans="1:13" ht="15.75">
      <c r="A173" s="114"/>
      <c r="B173" s="115"/>
      <c r="C173" s="23" t="s">
        <v>41</v>
      </c>
      <c r="D173" s="34" t="s">
        <v>91</v>
      </c>
      <c r="E173" s="33">
        <v>4153.5</v>
      </c>
      <c r="F173" s="33">
        <v>5102</v>
      </c>
      <c r="G173" s="33">
        <f>2271.9+730.3</f>
        <v>3002.2</v>
      </c>
      <c r="H173" s="33">
        <f>2882.6+1052.2</f>
        <v>3934.8</v>
      </c>
      <c r="I173" s="33">
        <f t="shared" si="10"/>
        <v>932.6000000000004</v>
      </c>
      <c r="J173" s="33">
        <f>H173/G173*100</f>
        <v>131.06388648324562</v>
      </c>
      <c r="K173" s="33">
        <f t="shared" si="11"/>
        <v>77.12269698157586</v>
      </c>
      <c r="L173" s="33">
        <f t="shared" si="12"/>
        <v>-218.69999999999982</v>
      </c>
      <c r="M173" s="33">
        <f t="shared" si="13"/>
        <v>94.73456121343446</v>
      </c>
    </row>
    <row r="174" spans="1:13" ht="15.75">
      <c r="A174" s="114"/>
      <c r="B174" s="115"/>
      <c r="C174" s="23" t="s">
        <v>59</v>
      </c>
      <c r="D174" s="36" t="s">
        <v>60</v>
      </c>
      <c r="E174" s="33">
        <v>11513.1</v>
      </c>
      <c r="F174" s="33"/>
      <c r="G174" s="33"/>
      <c r="H174" s="33"/>
      <c r="I174" s="33">
        <f t="shared" si="10"/>
        <v>0</v>
      </c>
      <c r="J174" s="33"/>
      <c r="K174" s="33"/>
      <c r="L174" s="33">
        <f t="shared" si="12"/>
        <v>-11513.1</v>
      </c>
      <c r="M174" s="33">
        <f t="shared" si="13"/>
        <v>0</v>
      </c>
    </row>
    <row r="175" spans="1:13" ht="15.75">
      <c r="A175" s="114"/>
      <c r="B175" s="115"/>
      <c r="C175" s="23" t="s">
        <v>43</v>
      </c>
      <c r="D175" s="34" t="s">
        <v>38</v>
      </c>
      <c r="E175" s="33">
        <v>-1007.6</v>
      </c>
      <c r="F175" s="33"/>
      <c r="G175" s="33"/>
      <c r="H175" s="33">
        <v>-2047.2</v>
      </c>
      <c r="I175" s="33">
        <f t="shared" si="10"/>
        <v>-2047.2</v>
      </c>
      <c r="J175" s="33"/>
      <c r="K175" s="33"/>
      <c r="L175" s="33">
        <f t="shared" si="12"/>
        <v>-1039.6</v>
      </c>
      <c r="M175" s="33">
        <f t="shared" si="13"/>
        <v>203.17586343787215</v>
      </c>
    </row>
    <row r="176" spans="1:13" s="5" customFormat="1" ht="31.5">
      <c r="A176" s="114"/>
      <c r="B176" s="115"/>
      <c r="C176" s="25"/>
      <c r="D176" s="3" t="s">
        <v>48</v>
      </c>
      <c r="E176" s="4">
        <f>E177-E175</f>
        <v>17112.8</v>
      </c>
      <c r="F176" s="4">
        <f>F177-F175</f>
        <v>5493.9</v>
      </c>
      <c r="G176" s="4">
        <f>G177-G175</f>
        <v>3202.2</v>
      </c>
      <c r="H176" s="4">
        <f>H177-H175</f>
        <v>5060</v>
      </c>
      <c r="I176" s="4">
        <f t="shared" si="10"/>
        <v>1857.8000000000002</v>
      </c>
      <c r="J176" s="4">
        <f>H176/G176*100</f>
        <v>158.01636374992194</v>
      </c>
      <c r="K176" s="4">
        <f t="shared" si="11"/>
        <v>92.1021496568922</v>
      </c>
      <c r="L176" s="4">
        <f t="shared" si="12"/>
        <v>-12052.8</v>
      </c>
      <c r="M176" s="4">
        <f t="shared" si="13"/>
        <v>29.568510121078962</v>
      </c>
    </row>
    <row r="177" spans="1:13" s="5" customFormat="1" ht="15.75">
      <c r="A177" s="114"/>
      <c r="B177" s="115"/>
      <c r="C177" s="31"/>
      <c r="D177" s="3" t="s">
        <v>67</v>
      </c>
      <c r="E177" s="8">
        <f>SUM(E166:E168,E170:E175)</f>
        <v>16105.199999999999</v>
      </c>
      <c r="F177" s="8">
        <f>SUM(F166:F168,F170:F175)</f>
        <v>5493.9</v>
      </c>
      <c r="G177" s="8">
        <f>SUM(G166:G168,G170:G175)</f>
        <v>3202.2</v>
      </c>
      <c r="H177" s="8">
        <f>SUM(H166:H168,H170:H175)</f>
        <v>3012.8</v>
      </c>
      <c r="I177" s="8">
        <f t="shared" si="10"/>
        <v>-189.39999999999964</v>
      </c>
      <c r="J177" s="8">
        <f>H177/G177*100</f>
        <v>94.08531634501281</v>
      </c>
      <c r="K177" s="8">
        <f t="shared" si="11"/>
        <v>54.83900325815906</v>
      </c>
      <c r="L177" s="8">
        <f t="shared" si="12"/>
        <v>-13092.399999999998</v>
      </c>
      <c r="M177" s="8">
        <f t="shared" si="13"/>
        <v>18.707001465365224</v>
      </c>
    </row>
    <row r="178" spans="1:13" ht="31.5">
      <c r="A178" s="110" t="s">
        <v>105</v>
      </c>
      <c r="B178" s="111" t="s">
        <v>106</v>
      </c>
      <c r="C178" s="23" t="s">
        <v>20</v>
      </c>
      <c r="D178" s="47" t="s">
        <v>21</v>
      </c>
      <c r="E178" s="33">
        <v>39.9</v>
      </c>
      <c r="F178" s="33"/>
      <c r="G178" s="33"/>
      <c r="H178" s="33">
        <v>83.8</v>
      </c>
      <c r="I178" s="33">
        <f t="shared" si="10"/>
        <v>83.8</v>
      </c>
      <c r="J178" s="33"/>
      <c r="K178" s="33"/>
      <c r="L178" s="33">
        <f t="shared" si="12"/>
        <v>43.9</v>
      </c>
      <c r="M178" s="33">
        <f t="shared" si="13"/>
        <v>210.0250626566416</v>
      </c>
    </row>
    <row r="179" spans="1:13" ht="15.75" hidden="1">
      <c r="A179" s="110"/>
      <c r="B179" s="111"/>
      <c r="C179" s="23" t="s">
        <v>101</v>
      </c>
      <c r="D179" s="34" t="s">
        <v>102</v>
      </c>
      <c r="E179" s="33"/>
      <c r="F179" s="33"/>
      <c r="G179" s="33"/>
      <c r="H179" s="33"/>
      <c r="I179" s="33">
        <f t="shared" si="10"/>
        <v>0</v>
      </c>
      <c r="J179" s="33"/>
      <c r="K179" s="33"/>
      <c r="L179" s="33">
        <f t="shared" si="12"/>
        <v>0</v>
      </c>
      <c r="M179" s="33" t="e">
        <f t="shared" si="13"/>
        <v>#DIV/0!</v>
      </c>
    </row>
    <row r="180" spans="1:13" ht="15.75">
      <c r="A180" s="114"/>
      <c r="B180" s="115"/>
      <c r="C180" s="23" t="s">
        <v>28</v>
      </c>
      <c r="D180" s="34" t="s">
        <v>29</v>
      </c>
      <c r="E180" s="33">
        <f>SUM(E181:E182)</f>
        <v>88.4</v>
      </c>
      <c r="F180" s="33">
        <f>SUM(F181:F182)</f>
        <v>0</v>
      </c>
      <c r="G180" s="33">
        <f>SUM(G181:G182)</f>
        <v>0</v>
      </c>
      <c r="H180" s="33">
        <f>SUM(H181:H182)</f>
        <v>12.4</v>
      </c>
      <c r="I180" s="33">
        <f t="shared" si="10"/>
        <v>12.4</v>
      </c>
      <c r="J180" s="33"/>
      <c r="K180" s="33"/>
      <c r="L180" s="33">
        <f t="shared" si="12"/>
        <v>-76</v>
      </c>
      <c r="M180" s="33">
        <f t="shared" si="13"/>
        <v>14.027149321266968</v>
      </c>
    </row>
    <row r="181" spans="1:13" ht="63" hidden="1">
      <c r="A181" s="114"/>
      <c r="B181" s="115"/>
      <c r="C181" s="22" t="s">
        <v>30</v>
      </c>
      <c r="D181" s="49" t="s">
        <v>31</v>
      </c>
      <c r="E181" s="33"/>
      <c r="F181" s="33"/>
      <c r="G181" s="33"/>
      <c r="H181" s="33"/>
      <c r="I181" s="33">
        <f t="shared" si="10"/>
        <v>0</v>
      </c>
      <c r="J181" s="33" t="e">
        <f>H181/G181*100</f>
        <v>#DIV/0!</v>
      </c>
      <c r="K181" s="33" t="e">
        <f t="shared" si="11"/>
        <v>#DIV/0!</v>
      </c>
      <c r="L181" s="33">
        <f t="shared" si="12"/>
        <v>0</v>
      </c>
      <c r="M181" s="33" t="e">
        <f t="shared" si="13"/>
        <v>#DIV/0!</v>
      </c>
    </row>
    <row r="182" spans="1:13" ht="47.25" hidden="1">
      <c r="A182" s="114"/>
      <c r="B182" s="115"/>
      <c r="C182" s="22" t="s">
        <v>32</v>
      </c>
      <c r="D182" s="36" t="s">
        <v>33</v>
      </c>
      <c r="E182" s="33">
        <v>88.4</v>
      </c>
      <c r="F182" s="33"/>
      <c r="G182" s="33"/>
      <c r="H182" s="33">
        <v>12.4</v>
      </c>
      <c r="I182" s="33">
        <f t="shared" si="10"/>
        <v>12.4</v>
      </c>
      <c r="J182" s="33" t="e">
        <f>H182/G182*100</f>
        <v>#DIV/0!</v>
      </c>
      <c r="K182" s="33" t="e">
        <f t="shared" si="11"/>
        <v>#DIV/0!</v>
      </c>
      <c r="L182" s="33">
        <f t="shared" si="12"/>
        <v>-76</v>
      </c>
      <c r="M182" s="33">
        <f t="shared" si="13"/>
        <v>14.027149321266968</v>
      </c>
    </row>
    <row r="183" spans="1:13" ht="15.75" hidden="1">
      <c r="A183" s="114"/>
      <c r="B183" s="115"/>
      <c r="C183" s="23" t="s">
        <v>34</v>
      </c>
      <c r="D183" s="34" t="s">
        <v>35</v>
      </c>
      <c r="E183" s="33"/>
      <c r="F183" s="33"/>
      <c r="G183" s="33"/>
      <c r="H183" s="33"/>
      <c r="I183" s="33">
        <f t="shared" si="10"/>
        <v>0</v>
      </c>
      <c r="J183" s="33" t="e">
        <f>H183/G183*100</f>
        <v>#DIV/0!</v>
      </c>
      <c r="K183" s="33" t="e">
        <f t="shared" si="11"/>
        <v>#DIV/0!</v>
      </c>
      <c r="L183" s="33">
        <f t="shared" si="12"/>
        <v>0</v>
      </c>
      <c r="M183" s="33" t="e">
        <f t="shared" si="13"/>
        <v>#DIV/0!</v>
      </c>
    </row>
    <row r="184" spans="1:13" ht="15.75">
      <c r="A184" s="114"/>
      <c r="B184" s="115"/>
      <c r="C184" s="23" t="s">
        <v>36</v>
      </c>
      <c r="D184" s="34" t="s">
        <v>37</v>
      </c>
      <c r="E184" s="33">
        <v>1148.1</v>
      </c>
      <c r="F184" s="33">
        <v>186.9</v>
      </c>
      <c r="G184" s="33">
        <f>186-186</f>
        <v>0</v>
      </c>
      <c r="H184" s="33">
        <v>34.2</v>
      </c>
      <c r="I184" s="33">
        <f t="shared" si="10"/>
        <v>34.2</v>
      </c>
      <c r="J184" s="33"/>
      <c r="K184" s="33">
        <f t="shared" si="11"/>
        <v>18.298555377207062</v>
      </c>
      <c r="L184" s="33">
        <f t="shared" si="12"/>
        <v>-1113.8999999999999</v>
      </c>
      <c r="M184" s="33">
        <f t="shared" si="13"/>
        <v>2.978834596289522</v>
      </c>
    </row>
    <row r="185" spans="1:13" ht="15.75" hidden="1">
      <c r="A185" s="114"/>
      <c r="B185" s="115"/>
      <c r="C185" s="23" t="s">
        <v>39</v>
      </c>
      <c r="D185" s="34" t="s">
        <v>40</v>
      </c>
      <c r="E185" s="33"/>
      <c r="F185" s="33"/>
      <c r="G185" s="33"/>
      <c r="H185" s="33"/>
      <c r="I185" s="33">
        <f t="shared" si="10"/>
        <v>0</v>
      </c>
      <c r="J185" s="33" t="e">
        <f>H185/G185*100</f>
        <v>#DIV/0!</v>
      </c>
      <c r="K185" s="33" t="e">
        <f t="shared" si="11"/>
        <v>#DIV/0!</v>
      </c>
      <c r="L185" s="33">
        <f t="shared" si="12"/>
        <v>0</v>
      </c>
      <c r="M185" s="33" t="e">
        <f t="shared" si="13"/>
        <v>#DIV/0!</v>
      </c>
    </row>
    <row r="186" spans="1:13" ht="15.75">
      <c r="A186" s="114"/>
      <c r="B186" s="115"/>
      <c r="C186" s="23" t="s">
        <v>41</v>
      </c>
      <c r="D186" s="34" t="s">
        <v>91</v>
      </c>
      <c r="E186" s="33">
        <v>3232.9</v>
      </c>
      <c r="F186" s="33">
        <v>4252</v>
      </c>
      <c r="G186" s="33">
        <f>1667.4+730.3</f>
        <v>2397.7</v>
      </c>
      <c r="H186" s="33">
        <f>2104.3+923.8</f>
        <v>3028.1000000000004</v>
      </c>
      <c r="I186" s="33">
        <f t="shared" si="10"/>
        <v>630.4000000000005</v>
      </c>
      <c r="J186" s="33">
        <f>H186/G186*100</f>
        <v>126.29186303540895</v>
      </c>
      <c r="K186" s="33">
        <f t="shared" si="11"/>
        <v>71.2158984007526</v>
      </c>
      <c r="L186" s="33">
        <f t="shared" si="12"/>
        <v>-204.79999999999973</v>
      </c>
      <c r="M186" s="33">
        <f t="shared" si="13"/>
        <v>93.66513037829813</v>
      </c>
    </row>
    <row r="187" spans="1:13" ht="15.75">
      <c r="A187" s="114"/>
      <c r="B187" s="115"/>
      <c r="C187" s="23" t="s">
        <v>59</v>
      </c>
      <c r="D187" s="36" t="s">
        <v>60</v>
      </c>
      <c r="E187" s="33">
        <v>10285.6</v>
      </c>
      <c r="F187" s="33"/>
      <c r="G187" s="33"/>
      <c r="H187" s="33"/>
      <c r="I187" s="33">
        <f t="shared" si="10"/>
        <v>0</v>
      </c>
      <c r="J187" s="33"/>
      <c r="K187" s="33"/>
      <c r="L187" s="33">
        <f t="shared" si="12"/>
        <v>-10285.6</v>
      </c>
      <c r="M187" s="33">
        <f t="shared" si="13"/>
        <v>0</v>
      </c>
    </row>
    <row r="188" spans="1:13" ht="15.75">
      <c r="A188" s="114"/>
      <c r="B188" s="115"/>
      <c r="C188" s="23" t="s">
        <v>43</v>
      </c>
      <c r="D188" s="34" t="s">
        <v>38</v>
      </c>
      <c r="E188" s="33">
        <v>-454.8</v>
      </c>
      <c r="F188" s="33"/>
      <c r="G188" s="33"/>
      <c r="H188" s="33">
        <v>-293.1</v>
      </c>
      <c r="I188" s="33">
        <f t="shared" si="10"/>
        <v>-293.1</v>
      </c>
      <c r="J188" s="33"/>
      <c r="K188" s="33"/>
      <c r="L188" s="33">
        <f t="shared" si="12"/>
        <v>161.7</v>
      </c>
      <c r="M188" s="33">
        <f t="shared" si="13"/>
        <v>64.44591029023748</v>
      </c>
    </row>
    <row r="189" spans="1:13" s="5" customFormat="1" ht="31.5">
      <c r="A189" s="114"/>
      <c r="B189" s="115"/>
      <c r="C189" s="25"/>
      <c r="D189" s="3" t="s">
        <v>48</v>
      </c>
      <c r="E189" s="4">
        <f>E190-E188</f>
        <v>14794.900000000001</v>
      </c>
      <c r="F189" s="4">
        <f>F190-F188</f>
        <v>4438.9</v>
      </c>
      <c r="G189" s="4">
        <f>G190-G188</f>
        <v>2397.7</v>
      </c>
      <c r="H189" s="4">
        <f>H190-H188</f>
        <v>3158.5000000000005</v>
      </c>
      <c r="I189" s="4">
        <f t="shared" si="10"/>
        <v>760.8000000000006</v>
      </c>
      <c r="J189" s="4">
        <f>H189/G189*100</f>
        <v>131.73040830796182</v>
      </c>
      <c r="K189" s="4">
        <f t="shared" si="11"/>
        <v>71.1550158823132</v>
      </c>
      <c r="L189" s="4">
        <f t="shared" si="12"/>
        <v>-11636.400000000001</v>
      </c>
      <c r="M189" s="4">
        <f t="shared" si="13"/>
        <v>21.348572819011956</v>
      </c>
    </row>
    <row r="190" spans="1:13" s="5" customFormat="1" ht="15.75">
      <c r="A190" s="114"/>
      <c r="B190" s="115"/>
      <c r="C190" s="31"/>
      <c r="D190" s="3" t="s">
        <v>67</v>
      </c>
      <c r="E190" s="8">
        <f>SUM(E178:E180,E183:E188)</f>
        <v>14340.100000000002</v>
      </c>
      <c r="F190" s="8">
        <f>SUM(F178:F180,F183:F188)</f>
        <v>4438.9</v>
      </c>
      <c r="G190" s="8">
        <f>SUM(G178:G180,G183:G188)</f>
        <v>2397.7</v>
      </c>
      <c r="H190" s="8">
        <f>SUM(H178:H180,H183:H188)</f>
        <v>2865.4000000000005</v>
      </c>
      <c r="I190" s="8">
        <f t="shared" si="10"/>
        <v>467.7000000000007</v>
      </c>
      <c r="J190" s="8">
        <f>H190/G190*100</f>
        <v>119.50619343537561</v>
      </c>
      <c r="K190" s="8">
        <f t="shared" si="11"/>
        <v>64.55202865574806</v>
      </c>
      <c r="L190" s="8">
        <f t="shared" si="12"/>
        <v>-11474.7</v>
      </c>
      <c r="M190" s="8">
        <f t="shared" si="13"/>
        <v>19.9817295555819</v>
      </c>
    </row>
    <row r="191" spans="1:13" ht="31.5">
      <c r="A191" s="110" t="s">
        <v>107</v>
      </c>
      <c r="B191" s="111" t="s">
        <v>108</v>
      </c>
      <c r="C191" s="23" t="s">
        <v>20</v>
      </c>
      <c r="D191" s="47" t="s">
        <v>21</v>
      </c>
      <c r="E191" s="33"/>
      <c r="F191" s="33"/>
      <c r="G191" s="33"/>
      <c r="H191" s="33">
        <v>187.5</v>
      </c>
      <c r="I191" s="33">
        <f t="shared" si="10"/>
        <v>187.5</v>
      </c>
      <c r="J191" s="33"/>
      <c r="K191" s="33"/>
      <c r="L191" s="33">
        <f t="shared" si="12"/>
        <v>187.5</v>
      </c>
      <c r="M191" s="33"/>
    </row>
    <row r="192" spans="1:13" ht="15.75" hidden="1">
      <c r="A192" s="110"/>
      <c r="B192" s="111"/>
      <c r="C192" s="23" t="s">
        <v>101</v>
      </c>
      <c r="D192" s="34" t="s">
        <v>102</v>
      </c>
      <c r="E192" s="33"/>
      <c r="F192" s="33"/>
      <c r="G192" s="33"/>
      <c r="H192" s="33"/>
      <c r="I192" s="33">
        <f t="shared" si="10"/>
        <v>0</v>
      </c>
      <c r="J192" s="33"/>
      <c r="K192" s="33"/>
      <c r="L192" s="33">
        <f t="shared" si="12"/>
        <v>0</v>
      </c>
      <c r="M192" s="33" t="e">
        <f t="shared" si="13"/>
        <v>#DIV/0!</v>
      </c>
    </row>
    <row r="193" spans="1:13" ht="15.75" hidden="1">
      <c r="A193" s="114"/>
      <c r="B193" s="115"/>
      <c r="C193" s="23" t="s">
        <v>28</v>
      </c>
      <c r="D193" s="34" t="s">
        <v>29</v>
      </c>
      <c r="E193" s="33">
        <f>E194</f>
        <v>0</v>
      </c>
      <c r="F193" s="33">
        <f>F194</f>
        <v>0</v>
      </c>
      <c r="G193" s="33">
        <f>G194</f>
        <v>0</v>
      </c>
      <c r="H193" s="33">
        <f>H194</f>
        <v>0</v>
      </c>
      <c r="I193" s="33">
        <f t="shared" si="10"/>
        <v>0</v>
      </c>
      <c r="J193" s="33"/>
      <c r="K193" s="33"/>
      <c r="L193" s="33">
        <f t="shared" si="12"/>
        <v>0</v>
      </c>
      <c r="M193" s="33" t="e">
        <f t="shared" si="13"/>
        <v>#DIV/0!</v>
      </c>
    </row>
    <row r="194" spans="1:13" ht="47.25" hidden="1">
      <c r="A194" s="114"/>
      <c r="B194" s="115"/>
      <c r="C194" s="22" t="s">
        <v>32</v>
      </c>
      <c r="D194" s="36" t="s">
        <v>33</v>
      </c>
      <c r="E194" s="33"/>
      <c r="F194" s="33"/>
      <c r="G194" s="33"/>
      <c r="H194" s="33"/>
      <c r="I194" s="33">
        <f t="shared" si="10"/>
        <v>0</v>
      </c>
      <c r="J194" s="33"/>
      <c r="K194" s="33"/>
      <c r="L194" s="33">
        <f t="shared" si="12"/>
        <v>0</v>
      </c>
      <c r="M194" s="33" t="e">
        <f t="shared" si="13"/>
        <v>#DIV/0!</v>
      </c>
    </row>
    <row r="195" spans="1:13" ht="15.75">
      <c r="A195" s="114"/>
      <c r="B195" s="115"/>
      <c r="C195" s="23" t="s">
        <v>34</v>
      </c>
      <c r="D195" s="34" t="s">
        <v>35</v>
      </c>
      <c r="E195" s="33">
        <v>135.1</v>
      </c>
      <c r="F195" s="33"/>
      <c r="G195" s="33"/>
      <c r="H195" s="33">
        <v>5.3</v>
      </c>
      <c r="I195" s="33">
        <f t="shared" si="10"/>
        <v>5.3</v>
      </c>
      <c r="J195" s="33"/>
      <c r="K195" s="33"/>
      <c r="L195" s="33">
        <f t="shared" si="12"/>
        <v>-129.79999999999998</v>
      </c>
      <c r="M195" s="33">
        <f t="shared" si="13"/>
        <v>3.923019985196151</v>
      </c>
    </row>
    <row r="196" spans="1:13" ht="15.75">
      <c r="A196" s="114"/>
      <c r="B196" s="115"/>
      <c r="C196" s="23" t="s">
        <v>36</v>
      </c>
      <c r="D196" s="34" t="s">
        <v>37</v>
      </c>
      <c r="E196" s="33">
        <v>518.4</v>
      </c>
      <c r="F196" s="33">
        <v>1117.1</v>
      </c>
      <c r="G196" s="33">
        <f>500-415.8</f>
        <v>84.19999999999999</v>
      </c>
      <c r="H196" s="33">
        <v>84.2</v>
      </c>
      <c r="I196" s="33">
        <f t="shared" si="10"/>
        <v>0</v>
      </c>
      <c r="J196" s="33">
        <f>H196/G196*100</f>
        <v>100.00000000000003</v>
      </c>
      <c r="K196" s="33">
        <f t="shared" si="11"/>
        <v>7.537373556530302</v>
      </c>
      <c r="L196" s="33">
        <f t="shared" si="12"/>
        <v>-434.2</v>
      </c>
      <c r="M196" s="33">
        <f t="shared" si="13"/>
        <v>16.242283950617285</v>
      </c>
    </row>
    <row r="197" spans="1:13" ht="15.75" hidden="1">
      <c r="A197" s="114"/>
      <c r="B197" s="115"/>
      <c r="C197" s="23" t="s">
        <v>39</v>
      </c>
      <c r="D197" s="34" t="s">
        <v>40</v>
      </c>
      <c r="E197" s="33"/>
      <c r="F197" s="33"/>
      <c r="G197" s="33"/>
      <c r="H197" s="33"/>
      <c r="I197" s="33">
        <f t="shared" si="10"/>
        <v>0</v>
      </c>
      <c r="J197" s="33" t="e">
        <f>H197/G197*100</f>
        <v>#DIV/0!</v>
      </c>
      <c r="K197" s="33" t="e">
        <f t="shared" si="11"/>
        <v>#DIV/0!</v>
      </c>
      <c r="L197" s="33">
        <f t="shared" si="12"/>
        <v>0</v>
      </c>
      <c r="M197" s="33" t="e">
        <f t="shared" si="13"/>
        <v>#DIV/0!</v>
      </c>
    </row>
    <row r="198" spans="1:13" ht="15.75">
      <c r="A198" s="114"/>
      <c r="B198" s="115"/>
      <c r="C198" s="23" t="s">
        <v>41</v>
      </c>
      <c r="D198" s="34" t="s">
        <v>91</v>
      </c>
      <c r="E198" s="33">
        <v>3328.2</v>
      </c>
      <c r="F198" s="33">
        <v>4100</v>
      </c>
      <c r="G198" s="33">
        <f>1683.5+641.7</f>
        <v>2325.2</v>
      </c>
      <c r="H198" s="33">
        <f>2165+867.2</f>
        <v>3032.2</v>
      </c>
      <c r="I198" s="33">
        <f t="shared" si="10"/>
        <v>707</v>
      </c>
      <c r="J198" s="33">
        <f>H198/G198*100</f>
        <v>130.40598658179943</v>
      </c>
      <c r="K198" s="33">
        <f t="shared" si="11"/>
        <v>73.9560975609756</v>
      </c>
      <c r="L198" s="33">
        <f t="shared" si="12"/>
        <v>-296</v>
      </c>
      <c r="M198" s="33">
        <f t="shared" si="13"/>
        <v>91.10630370770987</v>
      </c>
    </row>
    <row r="199" spans="1:13" ht="15.75">
      <c r="A199" s="114"/>
      <c r="B199" s="115"/>
      <c r="C199" s="23" t="s">
        <v>59</v>
      </c>
      <c r="D199" s="36" t="s">
        <v>60</v>
      </c>
      <c r="E199" s="33">
        <v>9841.6</v>
      </c>
      <c r="F199" s="33"/>
      <c r="G199" s="33"/>
      <c r="H199" s="33"/>
      <c r="I199" s="33">
        <f t="shared" si="10"/>
        <v>0</v>
      </c>
      <c r="J199" s="33"/>
      <c r="K199" s="33"/>
      <c r="L199" s="33">
        <f t="shared" si="12"/>
        <v>-9841.6</v>
      </c>
      <c r="M199" s="33">
        <f t="shared" si="13"/>
        <v>0</v>
      </c>
    </row>
    <row r="200" spans="1:13" ht="15.75">
      <c r="A200" s="114"/>
      <c r="B200" s="115"/>
      <c r="C200" s="23" t="s">
        <v>43</v>
      </c>
      <c r="D200" s="34" t="s">
        <v>38</v>
      </c>
      <c r="E200" s="33">
        <v>-731.7</v>
      </c>
      <c r="F200" s="33"/>
      <c r="G200" s="33"/>
      <c r="H200" s="33">
        <v>-475.5</v>
      </c>
      <c r="I200" s="33">
        <f t="shared" si="10"/>
        <v>-475.5</v>
      </c>
      <c r="J200" s="33"/>
      <c r="K200" s="33"/>
      <c r="L200" s="33">
        <f t="shared" si="12"/>
        <v>256.20000000000005</v>
      </c>
      <c r="M200" s="33">
        <f t="shared" si="13"/>
        <v>64.98564985649857</v>
      </c>
    </row>
    <row r="201" spans="1:13" s="5" customFormat="1" ht="31.5">
      <c r="A201" s="114"/>
      <c r="B201" s="115"/>
      <c r="C201" s="25"/>
      <c r="D201" s="3" t="s">
        <v>48</v>
      </c>
      <c r="E201" s="4">
        <f>E202-E200</f>
        <v>13823.3</v>
      </c>
      <c r="F201" s="4">
        <f>F202-F200</f>
        <v>5217.1</v>
      </c>
      <c r="G201" s="4">
        <f>G202-G200</f>
        <v>2409.3999999999996</v>
      </c>
      <c r="H201" s="4">
        <f>H202-H200</f>
        <v>3309.2</v>
      </c>
      <c r="I201" s="4">
        <f aca="true" t="shared" si="14" ref="I201:I265">H201-G201</f>
        <v>899.8000000000002</v>
      </c>
      <c r="J201" s="4">
        <f>H201/G201*100</f>
        <v>137.34539719432226</v>
      </c>
      <c r="K201" s="4">
        <f>H201/F201*100</f>
        <v>63.42987483467826</v>
      </c>
      <c r="L201" s="4">
        <f aca="true" t="shared" si="15" ref="L201:L265">H201-E201</f>
        <v>-10514.099999999999</v>
      </c>
      <c r="M201" s="4">
        <f aca="true" t="shared" si="16" ref="M201:M265">H201/E201*100</f>
        <v>23.939290907381018</v>
      </c>
    </row>
    <row r="202" spans="1:13" s="5" customFormat="1" ht="15.75">
      <c r="A202" s="114"/>
      <c r="B202" s="115"/>
      <c r="C202" s="31"/>
      <c r="D202" s="3" t="s">
        <v>67</v>
      </c>
      <c r="E202" s="8">
        <f>SUM(E191:E193,E195:E200)</f>
        <v>13091.599999999999</v>
      </c>
      <c r="F202" s="8">
        <f>SUM(F191:F193,F195:F200)</f>
        <v>5217.1</v>
      </c>
      <c r="G202" s="8">
        <f>SUM(G191:G193,G195:G200)</f>
        <v>2409.3999999999996</v>
      </c>
      <c r="H202" s="8">
        <f>SUM(H191:H193,H195:H200)</f>
        <v>2833.7</v>
      </c>
      <c r="I202" s="8">
        <f t="shared" si="14"/>
        <v>424.3000000000002</v>
      </c>
      <c r="J202" s="8">
        <f>H202/G202*100</f>
        <v>117.61019340914751</v>
      </c>
      <c r="K202" s="8">
        <f>H202/F202*100</f>
        <v>54.31561595522416</v>
      </c>
      <c r="L202" s="8">
        <f t="shared" si="15"/>
        <v>-10257.899999999998</v>
      </c>
      <c r="M202" s="8">
        <f t="shared" si="16"/>
        <v>21.645177060099606</v>
      </c>
    </row>
    <row r="203" spans="1:13" ht="15.75">
      <c r="A203" s="103">
        <v>936</v>
      </c>
      <c r="B203" s="103" t="s">
        <v>109</v>
      </c>
      <c r="C203" s="23" t="s">
        <v>20</v>
      </c>
      <c r="D203" s="34"/>
      <c r="E203" s="52"/>
      <c r="F203" s="52"/>
      <c r="G203" s="52"/>
      <c r="H203" s="52">
        <v>13.7</v>
      </c>
      <c r="I203" s="52"/>
      <c r="J203" s="52"/>
      <c r="K203" s="52"/>
      <c r="L203" s="52"/>
      <c r="M203" s="52"/>
    </row>
    <row r="204" spans="1:13" s="5" customFormat="1" ht="15.75" customHeight="1">
      <c r="A204" s="106"/>
      <c r="B204" s="106"/>
      <c r="C204" s="23" t="s">
        <v>28</v>
      </c>
      <c r="D204" s="34" t="s">
        <v>29</v>
      </c>
      <c r="E204" s="33">
        <f>E205</f>
        <v>0</v>
      </c>
      <c r="F204" s="33">
        <f>F205</f>
        <v>0</v>
      </c>
      <c r="G204" s="33">
        <f>G205</f>
        <v>0</v>
      </c>
      <c r="H204" s="33">
        <f>H205</f>
        <v>56.7</v>
      </c>
      <c r="I204" s="33">
        <f t="shared" si="14"/>
        <v>56.7</v>
      </c>
      <c r="J204" s="33"/>
      <c r="K204" s="33"/>
      <c r="L204" s="33">
        <f t="shared" si="15"/>
        <v>56.7</v>
      </c>
      <c r="M204" s="33"/>
    </row>
    <row r="205" spans="1:13" s="5" customFormat="1" ht="47.25" customHeight="1" hidden="1">
      <c r="A205" s="106"/>
      <c r="B205" s="106"/>
      <c r="C205" s="22" t="s">
        <v>32</v>
      </c>
      <c r="D205" s="36" t="s">
        <v>33</v>
      </c>
      <c r="E205" s="33"/>
      <c r="F205" s="33"/>
      <c r="G205" s="33"/>
      <c r="H205" s="33">
        <v>56.7</v>
      </c>
      <c r="I205" s="33">
        <f t="shared" si="14"/>
        <v>56.7</v>
      </c>
      <c r="J205" s="33" t="e">
        <f>H205/G205*100</f>
        <v>#DIV/0!</v>
      </c>
      <c r="K205" s="33" t="e">
        <f>H205/F205*100</f>
        <v>#DIV/0!</v>
      </c>
      <c r="L205" s="33">
        <f t="shared" si="15"/>
        <v>56.7</v>
      </c>
      <c r="M205" s="33" t="e">
        <f t="shared" si="16"/>
        <v>#DIV/0!</v>
      </c>
    </row>
    <row r="206" spans="1:13" ht="15.75" customHeight="1">
      <c r="A206" s="106"/>
      <c r="B206" s="106"/>
      <c r="C206" s="23" t="s">
        <v>34</v>
      </c>
      <c r="D206" s="34" t="s">
        <v>35</v>
      </c>
      <c r="E206" s="33">
        <v>0.3</v>
      </c>
      <c r="F206" s="33"/>
      <c r="G206" s="33"/>
      <c r="H206" s="33"/>
      <c r="I206" s="33">
        <f t="shared" si="14"/>
        <v>0</v>
      </c>
      <c r="J206" s="33"/>
      <c r="K206" s="33"/>
      <c r="L206" s="33">
        <f t="shared" si="15"/>
        <v>-0.3</v>
      </c>
      <c r="M206" s="33">
        <f t="shared" si="16"/>
        <v>0</v>
      </c>
    </row>
    <row r="207" spans="1:13" ht="15.75">
      <c r="A207" s="106"/>
      <c r="B207" s="106"/>
      <c r="C207" s="23" t="s">
        <v>36</v>
      </c>
      <c r="D207" s="34" t="s">
        <v>37</v>
      </c>
      <c r="E207" s="33">
        <v>189.3</v>
      </c>
      <c r="F207" s="33">
        <v>50</v>
      </c>
      <c r="G207" s="33">
        <v>50</v>
      </c>
      <c r="H207" s="33">
        <v>91.8</v>
      </c>
      <c r="I207" s="33">
        <f t="shared" si="14"/>
        <v>41.8</v>
      </c>
      <c r="J207" s="33">
        <f>H207/G207*100</f>
        <v>183.6</v>
      </c>
      <c r="K207" s="33">
        <f>H207/F207*100</f>
        <v>183.6</v>
      </c>
      <c r="L207" s="33">
        <f t="shared" si="15"/>
        <v>-97.50000000000001</v>
      </c>
      <c r="M207" s="33">
        <f t="shared" si="16"/>
        <v>48.4944532488114</v>
      </c>
    </row>
    <row r="208" spans="1:13" ht="15.75">
      <c r="A208" s="106"/>
      <c r="B208" s="106"/>
      <c r="C208" s="23" t="s">
        <v>39</v>
      </c>
      <c r="D208" s="34" t="s">
        <v>40</v>
      </c>
      <c r="E208" s="33"/>
      <c r="F208" s="33">
        <v>600</v>
      </c>
      <c r="G208" s="33">
        <v>600</v>
      </c>
      <c r="H208" s="33">
        <v>600</v>
      </c>
      <c r="I208" s="33">
        <f t="shared" si="14"/>
        <v>0</v>
      </c>
      <c r="J208" s="33">
        <f>H208/G208*100</f>
        <v>100</v>
      </c>
      <c r="K208" s="33">
        <f>H208/F208*100</f>
        <v>100</v>
      </c>
      <c r="L208" s="33">
        <f t="shared" si="15"/>
        <v>600</v>
      </c>
      <c r="M208" s="33"/>
    </row>
    <row r="209" spans="1:13" ht="15.75">
      <c r="A209" s="106"/>
      <c r="B209" s="106"/>
      <c r="C209" s="23" t="s">
        <v>41</v>
      </c>
      <c r="D209" s="34" t="s">
        <v>91</v>
      </c>
      <c r="E209" s="33">
        <v>2743.8</v>
      </c>
      <c r="F209" s="33">
        <v>3800</v>
      </c>
      <c r="G209" s="33">
        <f>1414.2+641.7</f>
        <v>2055.9</v>
      </c>
      <c r="H209" s="33">
        <f>1930.1+694.8</f>
        <v>2624.8999999999996</v>
      </c>
      <c r="I209" s="33">
        <f t="shared" si="14"/>
        <v>568.9999999999995</v>
      </c>
      <c r="J209" s="33">
        <f>H209/G209*100</f>
        <v>127.67644340678046</v>
      </c>
      <c r="K209" s="33">
        <f>H209/F209*100</f>
        <v>69.07631578947367</v>
      </c>
      <c r="L209" s="33">
        <f t="shared" si="15"/>
        <v>-118.90000000000055</v>
      </c>
      <c r="M209" s="33">
        <f t="shared" si="16"/>
        <v>95.66659377505647</v>
      </c>
    </row>
    <row r="210" spans="1:13" ht="15.75">
      <c r="A210" s="106"/>
      <c r="B210" s="106"/>
      <c r="C210" s="23" t="s">
        <v>59</v>
      </c>
      <c r="D210" s="36" t="s">
        <v>60</v>
      </c>
      <c r="E210" s="33">
        <v>8466.3</v>
      </c>
      <c r="F210" s="33"/>
      <c r="G210" s="33"/>
      <c r="H210" s="33"/>
      <c r="I210" s="33">
        <f t="shared" si="14"/>
        <v>0</v>
      </c>
      <c r="J210" s="33"/>
      <c r="K210" s="33"/>
      <c r="L210" s="33">
        <f t="shared" si="15"/>
        <v>-8466.3</v>
      </c>
      <c r="M210" s="33">
        <f t="shared" si="16"/>
        <v>0</v>
      </c>
    </row>
    <row r="211" spans="1:13" ht="15.75">
      <c r="A211" s="106"/>
      <c r="B211" s="106"/>
      <c r="C211" s="23" t="s">
        <v>43</v>
      </c>
      <c r="D211" s="34" t="s">
        <v>38</v>
      </c>
      <c r="E211" s="33">
        <v>-658.3</v>
      </c>
      <c r="F211" s="33"/>
      <c r="G211" s="33"/>
      <c r="H211" s="33">
        <v>-273.8</v>
      </c>
      <c r="I211" s="33">
        <f t="shared" si="14"/>
        <v>-273.8</v>
      </c>
      <c r="J211" s="33"/>
      <c r="K211" s="33"/>
      <c r="L211" s="33">
        <f t="shared" si="15"/>
        <v>384.49999999999994</v>
      </c>
      <c r="M211" s="33">
        <f t="shared" si="16"/>
        <v>41.59197934072611</v>
      </c>
    </row>
    <row r="212" spans="1:13" s="5" customFormat="1" ht="31.5">
      <c r="A212" s="106"/>
      <c r="B212" s="106"/>
      <c r="C212" s="25"/>
      <c r="D212" s="3" t="s">
        <v>48</v>
      </c>
      <c r="E212" s="4">
        <f>E213-E211</f>
        <v>11399.699999999999</v>
      </c>
      <c r="F212" s="4">
        <f>F213-F211</f>
        <v>4450</v>
      </c>
      <c r="G212" s="4">
        <f>G213-G211</f>
        <v>2705.9</v>
      </c>
      <c r="H212" s="4">
        <f>H213-H211</f>
        <v>3387.0999999999995</v>
      </c>
      <c r="I212" s="4">
        <f t="shared" si="14"/>
        <v>681.1999999999994</v>
      </c>
      <c r="J212" s="4">
        <f>H212/G212*100</f>
        <v>125.17461842640154</v>
      </c>
      <c r="K212" s="4">
        <f>H212/F212*100</f>
        <v>76.11460674157303</v>
      </c>
      <c r="L212" s="4">
        <f t="shared" si="15"/>
        <v>-8012.599999999999</v>
      </c>
      <c r="M212" s="4">
        <f t="shared" si="16"/>
        <v>29.71218540838794</v>
      </c>
    </row>
    <row r="213" spans="1:13" s="5" customFormat="1" ht="15.75">
      <c r="A213" s="107"/>
      <c r="B213" s="107"/>
      <c r="C213" s="31"/>
      <c r="D213" s="3" t="s">
        <v>67</v>
      </c>
      <c r="E213" s="8">
        <f>SUM(E204,E206:E211)</f>
        <v>10741.4</v>
      </c>
      <c r="F213" s="8">
        <f>SUM(F204,F206:F211)</f>
        <v>4450</v>
      </c>
      <c r="G213" s="8">
        <f>SUM(G204,G206:G211)</f>
        <v>2705.9</v>
      </c>
      <c r="H213" s="8">
        <f>SUM(H203:H204,H206:H211)</f>
        <v>3113.2999999999993</v>
      </c>
      <c r="I213" s="8">
        <f t="shared" si="14"/>
        <v>407.3999999999992</v>
      </c>
      <c r="J213" s="8">
        <f>H213/G213*100</f>
        <v>115.05598876529064</v>
      </c>
      <c r="K213" s="8">
        <f>H213/F213*100</f>
        <v>69.96179775280898</v>
      </c>
      <c r="L213" s="8">
        <f t="shared" si="15"/>
        <v>-7628.1</v>
      </c>
      <c r="M213" s="8">
        <f t="shared" si="16"/>
        <v>28.984117526579396</v>
      </c>
    </row>
    <row r="214" spans="1:13" ht="15.75">
      <c r="A214" s="110" t="s">
        <v>110</v>
      </c>
      <c r="B214" s="111" t="s">
        <v>111</v>
      </c>
      <c r="C214" s="23" t="s">
        <v>14</v>
      </c>
      <c r="D214" s="46" t="s">
        <v>15</v>
      </c>
      <c r="E214" s="33"/>
      <c r="F214" s="33"/>
      <c r="G214" s="33"/>
      <c r="H214" s="33">
        <v>424.8</v>
      </c>
      <c r="I214" s="33">
        <f t="shared" si="14"/>
        <v>424.8</v>
      </c>
      <c r="J214" s="33"/>
      <c r="K214" s="33"/>
      <c r="L214" s="33">
        <f t="shared" si="15"/>
        <v>424.8</v>
      </c>
      <c r="M214" s="33"/>
    </row>
    <row r="215" spans="1:13" ht="31.5">
      <c r="A215" s="110"/>
      <c r="B215" s="111"/>
      <c r="C215" s="23" t="s">
        <v>20</v>
      </c>
      <c r="D215" s="47" t="s">
        <v>21</v>
      </c>
      <c r="E215" s="33">
        <v>81.1</v>
      </c>
      <c r="F215" s="33"/>
      <c r="G215" s="33"/>
      <c r="H215" s="33">
        <v>42.3</v>
      </c>
      <c r="I215" s="33">
        <f t="shared" si="14"/>
        <v>42.3</v>
      </c>
      <c r="J215" s="33"/>
      <c r="K215" s="33"/>
      <c r="L215" s="33">
        <f t="shared" si="15"/>
        <v>-38.8</v>
      </c>
      <c r="M215" s="33">
        <f t="shared" si="16"/>
        <v>52.15782983970407</v>
      </c>
    </row>
    <row r="216" spans="1:13" ht="15.75" hidden="1">
      <c r="A216" s="110"/>
      <c r="B216" s="111"/>
      <c r="C216" s="23" t="s">
        <v>101</v>
      </c>
      <c r="D216" s="34" t="s">
        <v>102</v>
      </c>
      <c r="E216" s="33"/>
      <c r="F216" s="33"/>
      <c r="G216" s="33"/>
      <c r="H216" s="33"/>
      <c r="I216" s="33">
        <f t="shared" si="14"/>
        <v>0</v>
      </c>
      <c r="J216" s="33"/>
      <c r="K216" s="33"/>
      <c r="L216" s="33">
        <f t="shared" si="15"/>
        <v>0</v>
      </c>
      <c r="M216" s="33" t="e">
        <f t="shared" si="16"/>
        <v>#DIV/0!</v>
      </c>
    </row>
    <row r="217" spans="1:13" ht="15.75">
      <c r="A217" s="114"/>
      <c r="B217" s="115"/>
      <c r="C217" s="23" t="s">
        <v>28</v>
      </c>
      <c r="D217" s="34" t="s">
        <v>29</v>
      </c>
      <c r="E217" s="33">
        <f>E218</f>
        <v>0.1</v>
      </c>
      <c r="F217" s="33">
        <f>F218</f>
        <v>0</v>
      </c>
      <c r="G217" s="33">
        <f>G218</f>
        <v>0</v>
      </c>
      <c r="H217" s="33">
        <f>H218</f>
        <v>15.2</v>
      </c>
      <c r="I217" s="33">
        <f t="shared" si="14"/>
        <v>15.2</v>
      </c>
      <c r="J217" s="33"/>
      <c r="K217" s="33"/>
      <c r="L217" s="33">
        <f t="shared" si="15"/>
        <v>15.1</v>
      </c>
      <c r="M217" s="33">
        <f t="shared" si="16"/>
        <v>15199.999999999996</v>
      </c>
    </row>
    <row r="218" spans="1:13" ht="47.25" hidden="1">
      <c r="A218" s="114"/>
      <c r="B218" s="115"/>
      <c r="C218" s="22" t="s">
        <v>32</v>
      </c>
      <c r="D218" s="36" t="s">
        <v>33</v>
      </c>
      <c r="E218" s="33">
        <v>0.1</v>
      </c>
      <c r="F218" s="33"/>
      <c r="G218" s="33"/>
      <c r="H218" s="33">
        <v>15.2</v>
      </c>
      <c r="I218" s="33">
        <f t="shared" si="14"/>
        <v>15.2</v>
      </c>
      <c r="J218" s="33" t="e">
        <f>H218/G218*100</f>
        <v>#DIV/0!</v>
      </c>
      <c r="K218" s="33" t="e">
        <f>H218/F218*100</f>
        <v>#DIV/0!</v>
      </c>
      <c r="L218" s="33">
        <f t="shared" si="15"/>
        <v>15.1</v>
      </c>
      <c r="M218" s="33">
        <f t="shared" si="16"/>
        <v>15199.999999999996</v>
      </c>
    </row>
    <row r="219" spans="1:13" ht="15.75">
      <c r="A219" s="114"/>
      <c r="B219" s="115"/>
      <c r="C219" s="23" t="s">
        <v>34</v>
      </c>
      <c r="D219" s="34" t="s">
        <v>35</v>
      </c>
      <c r="E219" s="33">
        <v>6.3</v>
      </c>
      <c r="F219" s="33"/>
      <c r="G219" s="33"/>
      <c r="H219" s="33"/>
      <c r="I219" s="33">
        <f t="shared" si="14"/>
        <v>0</v>
      </c>
      <c r="J219" s="33"/>
      <c r="K219" s="33"/>
      <c r="L219" s="33">
        <f t="shared" si="15"/>
        <v>-6.3</v>
      </c>
      <c r="M219" s="33">
        <f t="shared" si="16"/>
        <v>0</v>
      </c>
    </row>
    <row r="220" spans="1:13" ht="15.75">
      <c r="A220" s="114"/>
      <c r="B220" s="115"/>
      <c r="C220" s="23" t="s">
        <v>36</v>
      </c>
      <c r="D220" s="34" t="s">
        <v>37</v>
      </c>
      <c r="E220" s="33">
        <v>663.1</v>
      </c>
      <c r="F220" s="33">
        <v>230</v>
      </c>
      <c r="G220" s="33">
        <v>230</v>
      </c>
      <c r="H220" s="33">
        <v>203.4</v>
      </c>
      <c r="I220" s="33">
        <f t="shared" si="14"/>
        <v>-26.599999999999994</v>
      </c>
      <c r="J220" s="33">
        <f>H220/G220*100</f>
        <v>88.43478260869566</v>
      </c>
      <c r="K220" s="33">
        <f>H220/F220*100</f>
        <v>88.43478260869566</v>
      </c>
      <c r="L220" s="33">
        <f t="shared" si="15"/>
        <v>-459.70000000000005</v>
      </c>
      <c r="M220" s="33">
        <f t="shared" si="16"/>
        <v>30.67410646961243</v>
      </c>
    </row>
    <row r="221" spans="1:13" ht="15.75" hidden="1">
      <c r="A221" s="114"/>
      <c r="B221" s="115"/>
      <c r="C221" s="23" t="s">
        <v>39</v>
      </c>
      <c r="D221" s="34" t="s">
        <v>40</v>
      </c>
      <c r="E221" s="33"/>
      <c r="F221" s="33"/>
      <c r="G221" s="33"/>
      <c r="H221" s="33"/>
      <c r="I221" s="33">
        <f t="shared" si="14"/>
        <v>0</v>
      </c>
      <c r="J221" s="33" t="e">
        <f>H221/G221*100</f>
        <v>#DIV/0!</v>
      </c>
      <c r="K221" s="33" t="e">
        <f>H221/F221*100</f>
        <v>#DIV/0!</v>
      </c>
      <c r="L221" s="33">
        <f t="shared" si="15"/>
        <v>0</v>
      </c>
      <c r="M221" s="33" t="e">
        <f t="shared" si="16"/>
        <v>#DIV/0!</v>
      </c>
    </row>
    <row r="222" spans="1:13" ht="15.75">
      <c r="A222" s="114"/>
      <c r="B222" s="115"/>
      <c r="C222" s="23" t="s">
        <v>41</v>
      </c>
      <c r="D222" s="34" t="s">
        <v>91</v>
      </c>
      <c r="E222" s="33">
        <v>2989.4</v>
      </c>
      <c r="F222" s="33">
        <v>3950</v>
      </c>
      <c r="G222" s="33">
        <f>1769.7+554.2</f>
        <v>2323.9</v>
      </c>
      <c r="H222" s="33">
        <f>2251+682.3</f>
        <v>2933.3</v>
      </c>
      <c r="I222" s="33">
        <f t="shared" si="14"/>
        <v>609.4000000000001</v>
      </c>
      <c r="J222" s="33">
        <f>H222/G222*100</f>
        <v>126.22315934420587</v>
      </c>
      <c r="K222" s="33">
        <f>H222/F222*100</f>
        <v>74.26075949367089</v>
      </c>
      <c r="L222" s="33">
        <f t="shared" si="15"/>
        <v>-56.09999999999991</v>
      </c>
      <c r="M222" s="33">
        <f t="shared" si="16"/>
        <v>98.12336923797417</v>
      </c>
    </row>
    <row r="223" spans="1:13" ht="15.75">
      <c r="A223" s="114"/>
      <c r="B223" s="115"/>
      <c r="C223" s="23" t="s">
        <v>59</v>
      </c>
      <c r="D223" s="36" t="s">
        <v>60</v>
      </c>
      <c r="E223" s="33">
        <v>7721.4</v>
      </c>
      <c r="F223" s="33"/>
      <c r="G223" s="33"/>
      <c r="H223" s="33"/>
      <c r="I223" s="33">
        <f t="shared" si="14"/>
        <v>0</v>
      </c>
      <c r="J223" s="33"/>
      <c r="K223" s="33"/>
      <c r="L223" s="33">
        <f t="shared" si="15"/>
        <v>-7721.4</v>
      </c>
      <c r="M223" s="33">
        <f t="shared" si="16"/>
        <v>0</v>
      </c>
    </row>
    <row r="224" spans="1:13" ht="15.75">
      <c r="A224" s="114"/>
      <c r="B224" s="115"/>
      <c r="C224" s="23" t="s">
        <v>43</v>
      </c>
      <c r="D224" s="34" t="s">
        <v>38</v>
      </c>
      <c r="E224" s="33">
        <v>-331</v>
      </c>
      <c r="F224" s="33"/>
      <c r="G224" s="33"/>
      <c r="H224" s="33">
        <v>-293.8</v>
      </c>
      <c r="I224" s="33">
        <f t="shared" si="14"/>
        <v>-293.8</v>
      </c>
      <c r="J224" s="33"/>
      <c r="K224" s="33"/>
      <c r="L224" s="33">
        <f t="shared" si="15"/>
        <v>37.19999999999999</v>
      </c>
      <c r="M224" s="33">
        <f t="shared" si="16"/>
        <v>88.76132930513594</v>
      </c>
    </row>
    <row r="225" spans="1:13" s="5" customFormat="1" ht="31.5">
      <c r="A225" s="114"/>
      <c r="B225" s="115"/>
      <c r="C225" s="25"/>
      <c r="D225" s="3" t="s">
        <v>48</v>
      </c>
      <c r="E225" s="4">
        <f>E226-E224</f>
        <v>11461.4</v>
      </c>
      <c r="F225" s="4">
        <f>F226-F224</f>
        <v>4180</v>
      </c>
      <c r="G225" s="4">
        <f>G226-G224</f>
        <v>2553.9</v>
      </c>
      <c r="H225" s="4">
        <f>H226-H224</f>
        <v>3619</v>
      </c>
      <c r="I225" s="4">
        <f t="shared" si="14"/>
        <v>1065.1</v>
      </c>
      <c r="J225" s="4">
        <f>H225/G225*100</f>
        <v>141.70484357257527</v>
      </c>
      <c r="K225" s="4">
        <f>H225/F225*100</f>
        <v>86.57894736842105</v>
      </c>
      <c r="L225" s="4">
        <f t="shared" si="15"/>
        <v>-7842.4</v>
      </c>
      <c r="M225" s="4">
        <f t="shared" si="16"/>
        <v>31.57554923482297</v>
      </c>
    </row>
    <row r="226" spans="1:13" s="5" customFormat="1" ht="15.75">
      <c r="A226" s="114"/>
      <c r="B226" s="115"/>
      <c r="C226" s="31"/>
      <c r="D226" s="3" t="s">
        <v>67</v>
      </c>
      <c r="E226" s="8">
        <f>SUM(E214:E217,E219:E224)</f>
        <v>11130.4</v>
      </c>
      <c r="F226" s="8">
        <f>SUM(F214:F217,F219:F224)</f>
        <v>4180</v>
      </c>
      <c r="G226" s="8">
        <f>SUM(G214:G217,G219:G224)</f>
        <v>2553.9</v>
      </c>
      <c r="H226" s="8">
        <f>SUM(H214:H217,H219:H224)</f>
        <v>3325.2</v>
      </c>
      <c r="I226" s="8">
        <f t="shared" si="14"/>
        <v>771.2999999999997</v>
      </c>
      <c r="J226" s="8">
        <f>H226/G226*100</f>
        <v>130.20086925878067</v>
      </c>
      <c r="K226" s="8">
        <f>H226/F226*100</f>
        <v>79.55023923444976</v>
      </c>
      <c r="L226" s="8">
        <f t="shared" si="15"/>
        <v>-7805.2</v>
      </c>
      <c r="M226" s="8">
        <f t="shared" si="16"/>
        <v>29.874937109178468</v>
      </c>
    </row>
    <row r="227" spans="1:13" ht="31.5">
      <c r="A227" s="110" t="s">
        <v>112</v>
      </c>
      <c r="B227" s="103" t="s">
        <v>113</v>
      </c>
      <c r="C227" s="23" t="s">
        <v>20</v>
      </c>
      <c r="D227" s="47" t="s">
        <v>21</v>
      </c>
      <c r="E227" s="33">
        <v>29.2</v>
      </c>
      <c r="F227" s="33"/>
      <c r="G227" s="33"/>
      <c r="H227" s="33">
        <v>12.1</v>
      </c>
      <c r="I227" s="33">
        <f t="shared" si="14"/>
        <v>12.1</v>
      </c>
      <c r="J227" s="33"/>
      <c r="K227" s="33"/>
      <c r="L227" s="33">
        <f t="shared" si="15"/>
        <v>-17.1</v>
      </c>
      <c r="M227" s="33">
        <f t="shared" si="16"/>
        <v>41.43835616438356</v>
      </c>
    </row>
    <row r="228" spans="1:13" ht="15.75" hidden="1">
      <c r="A228" s="110"/>
      <c r="B228" s="112"/>
      <c r="C228" s="23" t="s">
        <v>101</v>
      </c>
      <c r="D228" s="34" t="s">
        <v>102</v>
      </c>
      <c r="E228" s="33"/>
      <c r="F228" s="33"/>
      <c r="G228" s="33"/>
      <c r="H228" s="33"/>
      <c r="I228" s="33">
        <f t="shared" si="14"/>
        <v>0</v>
      </c>
      <c r="J228" s="33"/>
      <c r="K228" s="33"/>
      <c r="L228" s="33">
        <f t="shared" si="15"/>
        <v>0</v>
      </c>
      <c r="M228" s="33" t="e">
        <f t="shared" si="16"/>
        <v>#DIV/0!</v>
      </c>
    </row>
    <row r="229" spans="1:13" ht="15.75" hidden="1">
      <c r="A229" s="114"/>
      <c r="B229" s="112"/>
      <c r="C229" s="23" t="s">
        <v>28</v>
      </c>
      <c r="D229" s="34" t="s">
        <v>29</v>
      </c>
      <c r="E229" s="33">
        <f>E230</f>
        <v>0</v>
      </c>
      <c r="F229" s="33">
        <f>F230</f>
        <v>0</v>
      </c>
      <c r="G229" s="33">
        <f>G230</f>
        <v>0</v>
      </c>
      <c r="H229" s="33">
        <f>H230</f>
        <v>0</v>
      </c>
      <c r="I229" s="33">
        <f t="shared" si="14"/>
        <v>0</v>
      </c>
      <c r="J229" s="33"/>
      <c r="K229" s="33"/>
      <c r="L229" s="33">
        <f t="shared" si="15"/>
        <v>0</v>
      </c>
      <c r="M229" s="33" t="e">
        <f t="shared" si="16"/>
        <v>#DIV/0!</v>
      </c>
    </row>
    <row r="230" spans="1:13" ht="47.25" hidden="1">
      <c r="A230" s="114"/>
      <c r="B230" s="112"/>
      <c r="C230" s="22" t="s">
        <v>32</v>
      </c>
      <c r="D230" s="36" t="s">
        <v>33</v>
      </c>
      <c r="E230" s="33"/>
      <c r="F230" s="33"/>
      <c r="G230" s="33"/>
      <c r="H230" s="33"/>
      <c r="I230" s="33">
        <f t="shared" si="14"/>
        <v>0</v>
      </c>
      <c r="J230" s="33"/>
      <c r="K230" s="33"/>
      <c r="L230" s="33">
        <f t="shared" si="15"/>
        <v>0</v>
      </c>
      <c r="M230" s="33" t="e">
        <f t="shared" si="16"/>
        <v>#DIV/0!</v>
      </c>
    </row>
    <row r="231" spans="1:13" ht="15.75">
      <c r="A231" s="114"/>
      <c r="B231" s="112"/>
      <c r="C231" s="23" t="s">
        <v>34</v>
      </c>
      <c r="D231" s="34" t="s">
        <v>35</v>
      </c>
      <c r="E231" s="39">
        <v>0.8</v>
      </c>
      <c r="F231" s="33"/>
      <c r="G231" s="33"/>
      <c r="H231" s="33">
        <v>-2.4</v>
      </c>
      <c r="I231" s="39">
        <f t="shared" si="14"/>
        <v>-2.4</v>
      </c>
      <c r="J231" s="39"/>
      <c r="K231" s="39"/>
      <c r="L231" s="39">
        <f t="shared" si="15"/>
        <v>-3.2</v>
      </c>
      <c r="M231" s="39">
        <f t="shared" si="16"/>
        <v>-299.99999999999994</v>
      </c>
    </row>
    <row r="232" spans="1:13" ht="15.75">
      <c r="A232" s="114"/>
      <c r="B232" s="112"/>
      <c r="C232" s="23" t="s">
        <v>36</v>
      </c>
      <c r="D232" s="34" t="s">
        <v>37</v>
      </c>
      <c r="E232" s="33">
        <v>44</v>
      </c>
      <c r="F232" s="33">
        <v>44</v>
      </c>
      <c r="G232" s="33">
        <v>44</v>
      </c>
      <c r="H232" s="33">
        <v>0.5</v>
      </c>
      <c r="I232" s="33">
        <f t="shared" si="14"/>
        <v>-43.5</v>
      </c>
      <c r="J232" s="33">
        <f>H232/G232*100</f>
        <v>1.1363636363636365</v>
      </c>
      <c r="K232" s="33">
        <f>H232/F232*100</f>
        <v>1.1363636363636365</v>
      </c>
      <c r="L232" s="33">
        <f t="shared" si="15"/>
        <v>-43.5</v>
      </c>
      <c r="M232" s="33">
        <f t="shared" si="16"/>
        <v>1.1363636363636365</v>
      </c>
    </row>
    <row r="233" spans="1:13" ht="15.75" hidden="1">
      <c r="A233" s="114"/>
      <c r="B233" s="112"/>
      <c r="C233" s="23" t="s">
        <v>39</v>
      </c>
      <c r="D233" s="34" t="s">
        <v>40</v>
      </c>
      <c r="E233" s="33"/>
      <c r="F233" s="33"/>
      <c r="G233" s="33"/>
      <c r="H233" s="33"/>
      <c r="I233" s="33">
        <f t="shared" si="14"/>
        <v>0</v>
      </c>
      <c r="J233" s="33" t="e">
        <f>H233/G233*100</f>
        <v>#DIV/0!</v>
      </c>
      <c r="K233" s="33" t="e">
        <f>H233/F233*100</f>
        <v>#DIV/0!</v>
      </c>
      <c r="L233" s="33">
        <f t="shared" si="15"/>
        <v>0</v>
      </c>
      <c r="M233" s="33" t="e">
        <f t="shared" si="16"/>
        <v>#DIV/0!</v>
      </c>
    </row>
    <row r="234" spans="1:13" ht="15.75">
      <c r="A234" s="114"/>
      <c r="B234" s="112"/>
      <c r="C234" s="23" t="s">
        <v>41</v>
      </c>
      <c r="D234" s="34" t="s">
        <v>91</v>
      </c>
      <c r="E234" s="33">
        <v>619</v>
      </c>
      <c r="F234" s="33">
        <v>850</v>
      </c>
      <c r="G234" s="33">
        <v>430.3</v>
      </c>
      <c r="H234" s="33">
        <v>696.2</v>
      </c>
      <c r="I234" s="33">
        <f t="shared" si="14"/>
        <v>265.90000000000003</v>
      </c>
      <c r="J234" s="33">
        <f>H234/G234*100</f>
        <v>161.79409714152916</v>
      </c>
      <c r="K234" s="33">
        <f>H234/F234*100</f>
        <v>81.90588235294118</v>
      </c>
      <c r="L234" s="33">
        <f t="shared" si="15"/>
        <v>77.20000000000005</v>
      </c>
      <c r="M234" s="33">
        <f t="shared" si="16"/>
        <v>112.47172859450727</v>
      </c>
    </row>
    <row r="235" spans="1:13" ht="15.75">
      <c r="A235" s="114"/>
      <c r="B235" s="112"/>
      <c r="C235" s="23" t="s">
        <v>59</v>
      </c>
      <c r="D235" s="36" t="s">
        <v>60</v>
      </c>
      <c r="E235" s="33">
        <v>575.3</v>
      </c>
      <c r="F235" s="33"/>
      <c r="G235" s="33"/>
      <c r="H235" s="33"/>
      <c r="I235" s="33">
        <f t="shared" si="14"/>
        <v>0</v>
      </c>
      <c r="J235" s="33"/>
      <c r="K235" s="33"/>
      <c r="L235" s="33">
        <f t="shared" si="15"/>
        <v>-575.3</v>
      </c>
      <c r="M235" s="33">
        <f t="shared" si="16"/>
        <v>0</v>
      </c>
    </row>
    <row r="236" spans="1:13" ht="15.75">
      <c r="A236" s="114"/>
      <c r="B236" s="112"/>
      <c r="C236" s="23" t="s">
        <v>43</v>
      </c>
      <c r="D236" s="34" t="s">
        <v>38</v>
      </c>
      <c r="E236" s="33">
        <v>-1</v>
      </c>
      <c r="F236" s="33"/>
      <c r="G236" s="33"/>
      <c r="H236" s="33">
        <v>-0.8</v>
      </c>
      <c r="I236" s="33">
        <f t="shared" si="14"/>
        <v>-0.8</v>
      </c>
      <c r="J236" s="33"/>
      <c r="K236" s="33"/>
      <c r="L236" s="33">
        <f t="shared" si="15"/>
        <v>0.19999999999999996</v>
      </c>
      <c r="M236" s="33">
        <f t="shared" si="16"/>
        <v>80</v>
      </c>
    </row>
    <row r="237" spans="1:13" s="5" customFormat="1" ht="31.5">
      <c r="A237" s="114"/>
      <c r="B237" s="112"/>
      <c r="C237" s="25"/>
      <c r="D237" s="3" t="s">
        <v>48</v>
      </c>
      <c r="E237" s="4">
        <f>E238-E236</f>
        <v>1268.3</v>
      </c>
      <c r="F237" s="4">
        <f>F238-F236</f>
        <v>894</v>
      </c>
      <c r="G237" s="4">
        <f>G238-G236</f>
        <v>474.3</v>
      </c>
      <c r="H237" s="4">
        <f>H238-H236</f>
        <v>706.4000000000001</v>
      </c>
      <c r="I237" s="4">
        <f t="shared" si="14"/>
        <v>232.10000000000008</v>
      </c>
      <c r="J237" s="4">
        <f>H237/G237*100</f>
        <v>148.93527303394478</v>
      </c>
      <c r="K237" s="4">
        <f>H237/F237*100</f>
        <v>79.01565995525728</v>
      </c>
      <c r="L237" s="4">
        <f t="shared" si="15"/>
        <v>-561.8999999999999</v>
      </c>
      <c r="M237" s="4">
        <f t="shared" si="16"/>
        <v>55.69660175037453</v>
      </c>
    </row>
    <row r="238" spans="1:13" s="5" customFormat="1" ht="15.75">
      <c r="A238" s="114"/>
      <c r="B238" s="112"/>
      <c r="C238" s="31"/>
      <c r="D238" s="3" t="s">
        <v>67</v>
      </c>
      <c r="E238" s="8">
        <f>SUM(E227:E229,E231:E236)</f>
        <v>1267.3</v>
      </c>
      <c r="F238" s="8">
        <f>SUM(F227:F229,F231:F236)</f>
        <v>894</v>
      </c>
      <c r="G238" s="8">
        <f>SUM(G227:G229,G231:G236)</f>
        <v>474.3</v>
      </c>
      <c r="H238" s="8">
        <f>SUM(H227:H229,H231:H236)</f>
        <v>705.6000000000001</v>
      </c>
      <c r="I238" s="8">
        <f t="shared" si="14"/>
        <v>231.30000000000013</v>
      </c>
      <c r="J238" s="8">
        <f>H238/G238*100</f>
        <v>148.7666034155598</v>
      </c>
      <c r="K238" s="8">
        <f>H238/F238*100</f>
        <v>78.92617449664431</v>
      </c>
      <c r="L238" s="8">
        <f t="shared" si="15"/>
        <v>-561.6999999999998</v>
      </c>
      <c r="M238" s="8">
        <f t="shared" si="16"/>
        <v>55.67742444567192</v>
      </c>
    </row>
    <row r="239" spans="1:13" ht="78.75">
      <c r="A239" s="100" t="s">
        <v>114</v>
      </c>
      <c r="B239" s="103" t="s">
        <v>115</v>
      </c>
      <c r="C239" s="22" t="s">
        <v>18</v>
      </c>
      <c r="D239" s="36" t="s">
        <v>116</v>
      </c>
      <c r="E239" s="33">
        <v>2415.5</v>
      </c>
      <c r="F239" s="33">
        <v>1612.5</v>
      </c>
      <c r="G239" s="33">
        <v>793.9</v>
      </c>
      <c r="H239" s="33">
        <v>875.5</v>
      </c>
      <c r="I239" s="33">
        <f t="shared" si="14"/>
        <v>81.60000000000002</v>
      </c>
      <c r="J239" s="33">
        <f>H239/G239*100</f>
        <v>110.27837259100643</v>
      </c>
      <c r="K239" s="33">
        <f>H239/F239*100</f>
        <v>54.29457364341085</v>
      </c>
      <c r="L239" s="33">
        <f t="shared" si="15"/>
        <v>-1540</v>
      </c>
      <c r="M239" s="33">
        <f t="shared" si="16"/>
        <v>36.24508383357483</v>
      </c>
    </row>
    <row r="240" spans="1:13" ht="31.5">
      <c r="A240" s="108"/>
      <c r="B240" s="106"/>
      <c r="C240" s="23" t="s">
        <v>20</v>
      </c>
      <c r="D240" s="47" t="s">
        <v>21</v>
      </c>
      <c r="E240" s="52">
        <v>3424.8</v>
      </c>
      <c r="F240" s="33"/>
      <c r="G240" s="33"/>
      <c r="H240" s="52">
        <v>4551.8</v>
      </c>
      <c r="I240" s="52">
        <f t="shared" si="14"/>
        <v>4551.8</v>
      </c>
      <c r="J240" s="52"/>
      <c r="K240" s="52"/>
      <c r="L240" s="52">
        <f t="shared" si="15"/>
        <v>1127</v>
      </c>
      <c r="M240" s="52">
        <f t="shared" si="16"/>
        <v>132.90703106750757</v>
      </c>
    </row>
    <row r="241" spans="1:13" ht="15.75">
      <c r="A241" s="108"/>
      <c r="B241" s="106"/>
      <c r="C241" s="23" t="s">
        <v>28</v>
      </c>
      <c r="D241" s="34" t="s">
        <v>29</v>
      </c>
      <c r="E241" s="33">
        <f>SUM(E242:E243)</f>
        <v>818.5</v>
      </c>
      <c r="F241" s="33">
        <f>SUM(F242:F243)</f>
        <v>0</v>
      </c>
      <c r="G241" s="33">
        <f>SUM(G242:G243)</f>
        <v>0</v>
      </c>
      <c r="H241" s="33">
        <f>SUM(H242:H243)</f>
        <v>161.6</v>
      </c>
      <c r="I241" s="33">
        <f t="shared" si="14"/>
        <v>161.6</v>
      </c>
      <c r="J241" s="33"/>
      <c r="K241" s="33"/>
      <c r="L241" s="33">
        <f t="shared" si="15"/>
        <v>-656.9</v>
      </c>
      <c r="M241" s="33">
        <f t="shared" si="16"/>
        <v>19.743433109346363</v>
      </c>
    </row>
    <row r="242" spans="1:13" ht="63" hidden="1">
      <c r="A242" s="108"/>
      <c r="B242" s="106"/>
      <c r="C242" s="22" t="s">
        <v>30</v>
      </c>
      <c r="D242" s="49" t="s">
        <v>31</v>
      </c>
      <c r="E242" s="33">
        <v>232.2</v>
      </c>
      <c r="F242" s="33"/>
      <c r="G242" s="33"/>
      <c r="H242" s="33"/>
      <c r="I242" s="33">
        <f t="shared" si="14"/>
        <v>0</v>
      </c>
      <c r="J242" s="33"/>
      <c r="K242" s="33"/>
      <c r="L242" s="33">
        <f t="shared" si="15"/>
        <v>-232.2</v>
      </c>
      <c r="M242" s="33">
        <f t="shared" si="16"/>
        <v>0</v>
      </c>
    </row>
    <row r="243" spans="1:13" ht="47.25" hidden="1">
      <c r="A243" s="108"/>
      <c r="B243" s="106"/>
      <c r="C243" s="22" t="s">
        <v>32</v>
      </c>
      <c r="D243" s="36" t="s">
        <v>33</v>
      </c>
      <c r="E243" s="33">
        <v>586.3</v>
      </c>
      <c r="F243" s="33"/>
      <c r="G243" s="33"/>
      <c r="H243" s="33">
        <v>161.6</v>
      </c>
      <c r="I243" s="33">
        <f t="shared" si="14"/>
        <v>161.6</v>
      </c>
      <c r="J243" s="33"/>
      <c r="K243" s="33"/>
      <c r="L243" s="33">
        <f t="shared" si="15"/>
        <v>-424.69999999999993</v>
      </c>
      <c r="M243" s="33">
        <f t="shared" si="16"/>
        <v>27.562681221217805</v>
      </c>
    </row>
    <row r="244" spans="1:13" ht="15.75">
      <c r="A244" s="108"/>
      <c r="B244" s="106"/>
      <c r="C244" s="23" t="s">
        <v>34</v>
      </c>
      <c r="D244" s="34" t="s">
        <v>35</v>
      </c>
      <c r="E244" s="33">
        <v>-278.7</v>
      </c>
      <c r="F244" s="33"/>
      <c r="G244" s="33"/>
      <c r="H244" s="33"/>
      <c r="I244" s="33">
        <f t="shared" si="14"/>
        <v>0</v>
      </c>
      <c r="J244" s="33"/>
      <c r="K244" s="33"/>
      <c r="L244" s="33">
        <f t="shared" si="15"/>
        <v>278.7</v>
      </c>
      <c r="M244" s="33">
        <f t="shared" si="16"/>
        <v>0</v>
      </c>
    </row>
    <row r="245" spans="1:13" ht="15.75" hidden="1">
      <c r="A245" s="108"/>
      <c r="B245" s="106"/>
      <c r="C245" s="23" t="s">
        <v>36</v>
      </c>
      <c r="D245" s="34" t="s">
        <v>37</v>
      </c>
      <c r="E245" s="33"/>
      <c r="F245" s="33"/>
      <c r="G245" s="33"/>
      <c r="H245" s="33"/>
      <c r="I245" s="33">
        <f t="shared" si="14"/>
        <v>0</v>
      </c>
      <c r="J245" s="33"/>
      <c r="K245" s="33"/>
      <c r="L245" s="33">
        <f t="shared" si="15"/>
        <v>0</v>
      </c>
      <c r="M245" s="33" t="e">
        <f t="shared" si="16"/>
        <v>#DIV/0!</v>
      </c>
    </row>
    <row r="246" spans="1:13" ht="15.75">
      <c r="A246" s="108"/>
      <c r="B246" s="106"/>
      <c r="C246" s="23" t="s">
        <v>39</v>
      </c>
      <c r="D246" s="34" t="s">
        <v>40</v>
      </c>
      <c r="E246" s="33">
        <v>296</v>
      </c>
      <c r="F246" s="52"/>
      <c r="G246" s="52"/>
      <c r="H246" s="33"/>
      <c r="I246" s="33">
        <f t="shared" si="14"/>
        <v>0</v>
      </c>
      <c r="J246" s="33"/>
      <c r="K246" s="33"/>
      <c r="L246" s="33">
        <f t="shared" si="15"/>
        <v>-296</v>
      </c>
      <c r="M246" s="33">
        <f t="shared" si="16"/>
        <v>0</v>
      </c>
    </row>
    <row r="247" spans="1:13" ht="15.75">
      <c r="A247" s="108"/>
      <c r="B247" s="106"/>
      <c r="C247" s="23" t="s">
        <v>41</v>
      </c>
      <c r="D247" s="34" t="s">
        <v>91</v>
      </c>
      <c r="E247" s="33">
        <v>94.6</v>
      </c>
      <c r="F247" s="52"/>
      <c r="G247" s="52"/>
      <c r="H247" s="33"/>
      <c r="I247" s="33">
        <f t="shared" si="14"/>
        <v>0</v>
      </c>
      <c r="J247" s="33"/>
      <c r="K247" s="33"/>
      <c r="L247" s="33">
        <f t="shared" si="15"/>
        <v>-94.6</v>
      </c>
      <c r="M247" s="33">
        <f t="shared" si="16"/>
        <v>0</v>
      </c>
    </row>
    <row r="248" spans="1:13" ht="15.75" hidden="1">
      <c r="A248" s="108"/>
      <c r="B248" s="106"/>
      <c r="C248" s="23" t="s">
        <v>70</v>
      </c>
      <c r="D248" s="34" t="s">
        <v>71</v>
      </c>
      <c r="E248" s="33"/>
      <c r="F248" s="52"/>
      <c r="G248" s="52"/>
      <c r="H248" s="33"/>
      <c r="I248" s="33">
        <f t="shared" si="14"/>
        <v>0</v>
      </c>
      <c r="J248" s="33"/>
      <c r="K248" s="33"/>
      <c r="L248" s="33">
        <f t="shared" si="15"/>
        <v>0</v>
      </c>
      <c r="M248" s="33" t="e">
        <f t="shared" si="16"/>
        <v>#DIV/0!</v>
      </c>
    </row>
    <row r="249" spans="1:13" ht="15.75">
      <c r="A249" s="108"/>
      <c r="B249" s="106"/>
      <c r="C249" s="23" t="s">
        <v>43</v>
      </c>
      <c r="D249" s="34" t="s">
        <v>38</v>
      </c>
      <c r="E249" s="33">
        <v>-63962.9</v>
      </c>
      <c r="F249" s="52"/>
      <c r="G249" s="52"/>
      <c r="H249" s="33">
        <v>-7286</v>
      </c>
      <c r="I249" s="33">
        <f t="shared" si="14"/>
        <v>-7286</v>
      </c>
      <c r="J249" s="33"/>
      <c r="K249" s="33"/>
      <c r="L249" s="33">
        <f t="shared" si="15"/>
        <v>56676.9</v>
      </c>
      <c r="M249" s="33">
        <f t="shared" si="16"/>
        <v>11.390978207679764</v>
      </c>
    </row>
    <row r="250" spans="1:13" s="5" customFormat="1" ht="15.75">
      <c r="A250" s="108"/>
      <c r="B250" s="106"/>
      <c r="C250" s="24"/>
      <c r="D250" s="3" t="s">
        <v>44</v>
      </c>
      <c r="E250" s="8">
        <f>SUM(E239:E241,E244:E249)</f>
        <v>-57192.2</v>
      </c>
      <c r="F250" s="8">
        <f>SUM(F239:F241,F244:F249)</f>
        <v>1612.5</v>
      </c>
      <c r="G250" s="8">
        <f>SUM(G239:G241,G244:G249)</f>
        <v>793.9</v>
      </c>
      <c r="H250" s="8">
        <f>SUM(H239:H241,H244:H249)</f>
        <v>-1697.0999999999995</v>
      </c>
      <c r="I250" s="8">
        <f t="shared" si="14"/>
        <v>-2490.9999999999995</v>
      </c>
      <c r="J250" s="8">
        <f aca="true" t="shared" si="17" ref="J250:J255">H250/G250*100</f>
        <v>-213.7674770122181</v>
      </c>
      <c r="K250" s="8">
        <f aca="true" t="shared" si="18" ref="K250:K255">H250/F250*100</f>
        <v>-105.24651162790694</v>
      </c>
      <c r="L250" s="8">
        <f t="shared" si="15"/>
        <v>55495.1</v>
      </c>
      <c r="M250" s="8">
        <f t="shared" si="16"/>
        <v>2.9673626823238126</v>
      </c>
    </row>
    <row r="251" spans="1:13" ht="15.75">
      <c r="A251" s="108"/>
      <c r="B251" s="106"/>
      <c r="C251" s="23" t="s">
        <v>28</v>
      </c>
      <c r="D251" s="34" t="s">
        <v>29</v>
      </c>
      <c r="E251" s="33">
        <f>E252</f>
        <v>5105.6</v>
      </c>
      <c r="F251" s="33">
        <f>F252</f>
        <v>6990</v>
      </c>
      <c r="G251" s="33">
        <v>3544</v>
      </c>
      <c r="H251" s="33">
        <f>H252</f>
        <v>3794.6</v>
      </c>
      <c r="I251" s="33">
        <f t="shared" si="14"/>
        <v>250.5999999999999</v>
      </c>
      <c r="J251" s="33">
        <f t="shared" si="17"/>
        <v>107.07110609480812</v>
      </c>
      <c r="K251" s="33">
        <f t="shared" si="18"/>
        <v>54.28612303290414</v>
      </c>
      <c r="L251" s="33">
        <f t="shared" si="15"/>
        <v>-1311.0000000000005</v>
      </c>
      <c r="M251" s="33">
        <f t="shared" si="16"/>
        <v>74.32231275462236</v>
      </c>
    </row>
    <row r="252" spans="1:13" ht="47.25" hidden="1">
      <c r="A252" s="108"/>
      <c r="B252" s="106"/>
      <c r="C252" s="22" t="s">
        <v>32</v>
      </c>
      <c r="D252" s="36" t="s">
        <v>33</v>
      </c>
      <c r="E252" s="33">
        <v>5105.6</v>
      </c>
      <c r="F252" s="33">
        <v>6990</v>
      </c>
      <c r="G252" s="33">
        <v>2914</v>
      </c>
      <c r="H252" s="33">
        <v>3794.6</v>
      </c>
      <c r="I252" s="33">
        <f t="shared" si="14"/>
        <v>880.5999999999999</v>
      </c>
      <c r="J252" s="33">
        <f t="shared" si="17"/>
        <v>130.21962937542898</v>
      </c>
      <c r="K252" s="33">
        <f t="shared" si="18"/>
        <v>54.28612303290414</v>
      </c>
      <c r="L252" s="33">
        <f t="shared" si="15"/>
        <v>-1311.0000000000005</v>
      </c>
      <c r="M252" s="33">
        <f t="shared" si="16"/>
        <v>74.32231275462236</v>
      </c>
    </row>
    <row r="253" spans="1:13" s="5" customFormat="1" ht="15.75">
      <c r="A253" s="108"/>
      <c r="B253" s="106"/>
      <c r="C253" s="24"/>
      <c r="D253" s="3" t="s">
        <v>47</v>
      </c>
      <c r="E253" s="8">
        <f>E251</f>
        <v>5105.6</v>
      </c>
      <c r="F253" s="8">
        <f>F251</f>
        <v>6990</v>
      </c>
      <c r="G253" s="8">
        <f>G251</f>
        <v>3544</v>
      </c>
      <c r="H253" s="8">
        <f>H251</f>
        <v>3794.6</v>
      </c>
      <c r="I253" s="8">
        <f t="shared" si="14"/>
        <v>250.5999999999999</v>
      </c>
      <c r="J253" s="8">
        <f t="shared" si="17"/>
        <v>107.07110609480812</v>
      </c>
      <c r="K253" s="8">
        <f t="shared" si="18"/>
        <v>54.28612303290414</v>
      </c>
      <c r="L253" s="8">
        <f t="shared" si="15"/>
        <v>-1311.0000000000005</v>
      </c>
      <c r="M253" s="8">
        <f t="shared" si="16"/>
        <v>74.32231275462236</v>
      </c>
    </row>
    <row r="254" spans="1:13" s="5" customFormat="1" ht="31.5">
      <c r="A254" s="108"/>
      <c r="B254" s="106"/>
      <c r="C254" s="24"/>
      <c r="D254" s="3" t="s">
        <v>48</v>
      </c>
      <c r="E254" s="8">
        <f>E255-E249</f>
        <v>11876.300000000003</v>
      </c>
      <c r="F254" s="8">
        <f>F255-F249</f>
        <v>8602.5</v>
      </c>
      <c r="G254" s="8">
        <f>G255-G249</f>
        <v>4337.9</v>
      </c>
      <c r="H254" s="8">
        <f>H255-H249</f>
        <v>9383.5</v>
      </c>
      <c r="I254" s="8">
        <f t="shared" si="14"/>
        <v>5045.6</v>
      </c>
      <c r="J254" s="8">
        <f t="shared" si="17"/>
        <v>216.31434565112153</v>
      </c>
      <c r="K254" s="8">
        <f t="shared" si="18"/>
        <v>109.07875617553037</v>
      </c>
      <c r="L254" s="8">
        <f t="shared" si="15"/>
        <v>-2492.800000000003</v>
      </c>
      <c r="M254" s="8">
        <f t="shared" si="16"/>
        <v>79.01029782002811</v>
      </c>
    </row>
    <row r="255" spans="1:13" s="5" customFormat="1" ht="15.75">
      <c r="A255" s="109"/>
      <c r="B255" s="107"/>
      <c r="C255" s="24"/>
      <c r="D255" s="3" t="s">
        <v>67</v>
      </c>
      <c r="E255" s="8">
        <f>E250+E253</f>
        <v>-52086.6</v>
      </c>
      <c r="F255" s="8">
        <f>F250+F253</f>
        <v>8602.5</v>
      </c>
      <c r="G255" s="8">
        <f>G250+G253</f>
        <v>4337.9</v>
      </c>
      <c r="H255" s="8">
        <f>H250+H253</f>
        <v>2097.5000000000005</v>
      </c>
      <c r="I255" s="8">
        <f t="shared" si="14"/>
        <v>-2240.399999999999</v>
      </c>
      <c r="J255" s="8">
        <f t="shared" si="17"/>
        <v>48.35288964706426</v>
      </c>
      <c r="K255" s="8">
        <f t="shared" si="18"/>
        <v>24.38244696309213</v>
      </c>
      <c r="L255" s="8">
        <f t="shared" si="15"/>
        <v>54184.1</v>
      </c>
      <c r="M255" s="8">
        <f t="shared" si="16"/>
        <v>-4.0269474298572</v>
      </c>
    </row>
    <row r="256" spans="1:13" s="5" customFormat="1" ht="31.5">
      <c r="A256" s="103">
        <v>943</v>
      </c>
      <c r="B256" s="103" t="s">
        <v>117</v>
      </c>
      <c r="C256" s="23" t="s">
        <v>20</v>
      </c>
      <c r="D256" s="47" t="s">
        <v>21</v>
      </c>
      <c r="E256" s="52">
        <v>415.2</v>
      </c>
      <c r="F256" s="8"/>
      <c r="G256" s="8"/>
      <c r="H256" s="52">
        <v>26</v>
      </c>
      <c r="I256" s="52">
        <f t="shared" si="14"/>
        <v>26</v>
      </c>
      <c r="J256" s="52"/>
      <c r="K256" s="52"/>
      <c r="L256" s="52">
        <f t="shared" si="15"/>
        <v>-389.2</v>
      </c>
      <c r="M256" s="52">
        <f t="shared" si="16"/>
        <v>6.262042389210019</v>
      </c>
    </row>
    <row r="257" spans="1:13" s="5" customFormat="1" ht="94.5">
      <c r="A257" s="108"/>
      <c r="B257" s="112"/>
      <c r="C257" s="22" t="s">
        <v>22</v>
      </c>
      <c r="D257" s="48" t="s">
        <v>23</v>
      </c>
      <c r="E257" s="52">
        <v>27</v>
      </c>
      <c r="F257" s="8"/>
      <c r="G257" s="8"/>
      <c r="H257" s="52"/>
      <c r="I257" s="52">
        <f t="shared" si="14"/>
        <v>0</v>
      </c>
      <c r="J257" s="52"/>
      <c r="K257" s="52"/>
      <c r="L257" s="52">
        <f t="shared" si="15"/>
        <v>-27</v>
      </c>
      <c r="M257" s="52">
        <f t="shared" si="16"/>
        <v>0</v>
      </c>
    </row>
    <row r="258" spans="1:13" s="5" customFormat="1" ht="15.75">
      <c r="A258" s="108"/>
      <c r="B258" s="112"/>
      <c r="C258" s="23" t="s">
        <v>28</v>
      </c>
      <c r="D258" s="34" t="s">
        <v>29</v>
      </c>
      <c r="E258" s="33">
        <f>SUM(E259:E260)</f>
        <v>0</v>
      </c>
      <c r="F258" s="33">
        <f>SUM(F259:F260)</f>
        <v>0</v>
      </c>
      <c r="G258" s="33">
        <f>SUM(G259:G260)</f>
        <v>0</v>
      </c>
      <c r="H258" s="33">
        <f>SUM(H259:H260)</f>
        <v>3608.5</v>
      </c>
      <c r="I258" s="33">
        <f t="shared" si="14"/>
        <v>3608.5</v>
      </c>
      <c r="J258" s="33"/>
      <c r="K258" s="33"/>
      <c r="L258" s="33">
        <f t="shared" si="15"/>
        <v>3608.5</v>
      </c>
      <c r="M258" s="33"/>
    </row>
    <row r="259" spans="1:13" s="5" customFormat="1" ht="63" hidden="1">
      <c r="A259" s="108"/>
      <c r="B259" s="112"/>
      <c r="C259" s="22" t="s">
        <v>30</v>
      </c>
      <c r="D259" s="49" t="s">
        <v>31</v>
      </c>
      <c r="E259" s="33"/>
      <c r="F259" s="33"/>
      <c r="G259" s="33"/>
      <c r="H259" s="33"/>
      <c r="I259" s="33">
        <f t="shared" si="14"/>
        <v>0</v>
      </c>
      <c r="J259" s="33" t="e">
        <f>H259/G259*100</f>
        <v>#DIV/0!</v>
      </c>
      <c r="K259" s="33" t="e">
        <f>H259/F259*100</f>
        <v>#DIV/0!</v>
      </c>
      <c r="L259" s="33">
        <f t="shared" si="15"/>
        <v>0</v>
      </c>
      <c r="M259" s="33" t="e">
        <f t="shared" si="16"/>
        <v>#DIV/0!</v>
      </c>
    </row>
    <row r="260" spans="1:13" s="5" customFormat="1" ht="47.25" hidden="1">
      <c r="A260" s="108"/>
      <c r="B260" s="112"/>
      <c r="C260" s="22" t="s">
        <v>32</v>
      </c>
      <c r="D260" s="36" t="s">
        <v>33</v>
      </c>
      <c r="E260" s="33"/>
      <c r="F260" s="33"/>
      <c r="G260" s="33"/>
      <c r="H260" s="33">
        <v>3608.5</v>
      </c>
      <c r="I260" s="33">
        <f t="shared" si="14"/>
        <v>3608.5</v>
      </c>
      <c r="J260" s="33" t="e">
        <f>H260/G260*100</f>
        <v>#DIV/0!</v>
      </c>
      <c r="K260" s="33" t="e">
        <f>H260/F260*100</f>
        <v>#DIV/0!</v>
      </c>
      <c r="L260" s="33">
        <f t="shared" si="15"/>
        <v>3608.5</v>
      </c>
      <c r="M260" s="33" t="e">
        <f t="shared" si="16"/>
        <v>#DIV/0!</v>
      </c>
    </row>
    <row r="261" spans="1:13" s="5" customFormat="1" ht="15.75" hidden="1">
      <c r="A261" s="108"/>
      <c r="B261" s="112"/>
      <c r="C261" s="23" t="s">
        <v>34</v>
      </c>
      <c r="D261" s="34" t="s">
        <v>35</v>
      </c>
      <c r="E261" s="52"/>
      <c r="F261" s="8"/>
      <c r="G261" s="8"/>
      <c r="H261" s="52"/>
      <c r="I261" s="52">
        <f t="shared" si="14"/>
        <v>0</v>
      </c>
      <c r="J261" s="52" t="e">
        <f>H261/G261*100</f>
        <v>#DIV/0!</v>
      </c>
      <c r="K261" s="52" t="e">
        <f>H261/F261*100</f>
        <v>#DIV/0!</v>
      </c>
      <c r="L261" s="52">
        <f t="shared" si="15"/>
        <v>0</v>
      </c>
      <c r="M261" s="52" t="e">
        <f t="shared" si="16"/>
        <v>#DIV/0!</v>
      </c>
    </row>
    <row r="262" spans="1:13" s="5" customFormat="1" ht="15.75" hidden="1">
      <c r="A262" s="108"/>
      <c r="B262" s="112"/>
      <c r="C262" s="23" t="s">
        <v>36</v>
      </c>
      <c r="D262" s="34" t="s">
        <v>37</v>
      </c>
      <c r="E262" s="52"/>
      <c r="F262" s="8"/>
      <c r="G262" s="8"/>
      <c r="H262" s="52"/>
      <c r="I262" s="52">
        <f t="shared" si="14"/>
        <v>0</v>
      </c>
      <c r="J262" s="52" t="e">
        <f>H262/G262*100</f>
        <v>#DIV/0!</v>
      </c>
      <c r="K262" s="52" t="e">
        <f>H262/F262*100</f>
        <v>#DIV/0!</v>
      </c>
      <c r="L262" s="52">
        <f t="shared" si="15"/>
        <v>0</v>
      </c>
      <c r="M262" s="52" t="e">
        <f t="shared" si="16"/>
        <v>#DIV/0!</v>
      </c>
    </row>
    <row r="263" spans="1:13" s="5" customFormat="1" ht="15.75">
      <c r="A263" s="108"/>
      <c r="B263" s="112"/>
      <c r="C263" s="23" t="s">
        <v>39</v>
      </c>
      <c r="D263" s="34" t="s">
        <v>40</v>
      </c>
      <c r="E263" s="52">
        <v>28554.4</v>
      </c>
      <c r="F263" s="52"/>
      <c r="G263" s="52"/>
      <c r="H263" s="52"/>
      <c r="I263" s="52">
        <f t="shared" si="14"/>
        <v>0</v>
      </c>
      <c r="J263" s="52"/>
      <c r="K263" s="52"/>
      <c r="L263" s="52">
        <f t="shared" si="15"/>
        <v>-28554.4</v>
      </c>
      <c r="M263" s="52">
        <f t="shared" si="16"/>
        <v>0</v>
      </c>
    </row>
    <row r="264" spans="1:13" s="5" customFormat="1" ht="15.75">
      <c r="A264" s="108"/>
      <c r="B264" s="112"/>
      <c r="C264" s="23" t="s">
        <v>41</v>
      </c>
      <c r="D264" s="34" t="s">
        <v>91</v>
      </c>
      <c r="E264" s="52">
        <v>72.3</v>
      </c>
      <c r="F264" s="52"/>
      <c r="G264" s="52"/>
      <c r="H264" s="52"/>
      <c r="I264" s="52">
        <f t="shared" si="14"/>
        <v>0</v>
      </c>
      <c r="J264" s="52"/>
      <c r="K264" s="52"/>
      <c r="L264" s="52">
        <f t="shared" si="15"/>
        <v>-72.3</v>
      </c>
      <c r="M264" s="52">
        <f t="shared" si="16"/>
        <v>0</v>
      </c>
    </row>
    <row r="265" spans="1:13" s="5" customFormat="1" ht="15.75" hidden="1">
      <c r="A265" s="108"/>
      <c r="B265" s="112"/>
      <c r="C265" s="23" t="s">
        <v>59</v>
      </c>
      <c r="D265" s="36" t="s">
        <v>60</v>
      </c>
      <c r="E265" s="52"/>
      <c r="F265" s="52"/>
      <c r="G265" s="52"/>
      <c r="H265" s="52"/>
      <c r="I265" s="52">
        <f t="shared" si="14"/>
        <v>0</v>
      </c>
      <c r="J265" s="52"/>
      <c r="K265" s="52" t="e">
        <f>H265/F265*100</f>
        <v>#DIV/0!</v>
      </c>
      <c r="L265" s="52">
        <f t="shared" si="15"/>
        <v>0</v>
      </c>
      <c r="M265" s="52" t="e">
        <f t="shared" si="16"/>
        <v>#DIV/0!</v>
      </c>
    </row>
    <row r="266" spans="1:13" s="5" customFormat="1" ht="15.75">
      <c r="A266" s="108"/>
      <c r="B266" s="112"/>
      <c r="C266" s="23" t="s">
        <v>43</v>
      </c>
      <c r="D266" s="34" t="s">
        <v>38</v>
      </c>
      <c r="E266" s="52"/>
      <c r="F266" s="52"/>
      <c r="G266" s="52"/>
      <c r="H266" s="52">
        <v>-235.9</v>
      </c>
      <c r="I266" s="52">
        <f aca="true" t="shared" si="19" ref="I266:I329">H266-G266</f>
        <v>-235.9</v>
      </c>
      <c r="J266" s="52"/>
      <c r="K266" s="52"/>
      <c r="L266" s="52">
        <f aca="true" t="shared" si="20" ref="L266:L329">H266-E266</f>
        <v>-235.9</v>
      </c>
      <c r="M266" s="52"/>
    </row>
    <row r="267" spans="1:13" s="5" customFormat="1" ht="31.5">
      <c r="A267" s="108"/>
      <c r="B267" s="112"/>
      <c r="C267" s="25"/>
      <c r="D267" s="3" t="s">
        <v>48</v>
      </c>
      <c r="E267" s="8">
        <f>E268-E266</f>
        <v>29068.9</v>
      </c>
      <c r="F267" s="8">
        <f>F268-F266</f>
        <v>0</v>
      </c>
      <c r="G267" s="8">
        <f>G268-G266</f>
        <v>0</v>
      </c>
      <c r="H267" s="8">
        <f>H268-H266</f>
        <v>3634.5</v>
      </c>
      <c r="I267" s="8">
        <f t="shared" si="19"/>
        <v>3634.5</v>
      </c>
      <c r="J267" s="8"/>
      <c r="K267" s="8"/>
      <c r="L267" s="8">
        <f t="shared" si="20"/>
        <v>-25434.4</v>
      </c>
      <c r="M267" s="8">
        <f aca="true" t="shared" si="21" ref="M267:M329">H267/E267*100</f>
        <v>12.503053091104238</v>
      </c>
    </row>
    <row r="268" spans="1:13" s="5" customFormat="1" ht="15.75">
      <c r="A268" s="109"/>
      <c r="B268" s="113"/>
      <c r="C268" s="24"/>
      <c r="D268" s="3" t="s">
        <v>67</v>
      </c>
      <c r="E268" s="8">
        <f>SUM(E256:E258,E261:E266)</f>
        <v>29068.9</v>
      </c>
      <c r="F268" s="8">
        <f>SUM(F256:F258,F261:F266)</f>
        <v>0</v>
      </c>
      <c r="G268" s="8">
        <f>SUM(G256:G258,G261:G266)</f>
        <v>0</v>
      </c>
      <c r="H268" s="8">
        <f>SUM(H256:H258,H261:H266)</f>
        <v>3398.6</v>
      </c>
      <c r="I268" s="8">
        <f t="shared" si="19"/>
        <v>3398.6</v>
      </c>
      <c r="J268" s="8"/>
      <c r="K268" s="8"/>
      <c r="L268" s="8">
        <f t="shared" si="20"/>
        <v>-25670.300000000003</v>
      </c>
      <c r="M268" s="8">
        <f t="shared" si="21"/>
        <v>11.691532875340998</v>
      </c>
    </row>
    <row r="269" spans="1:13" ht="31.5">
      <c r="A269" s="100" t="s">
        <v>118</v>
      </c>
      <c r="B269" s="103" t="s">
        <v>119</v>
      </c>
      <c r="C269" s="23" t="s">
        <v>20</v>
      </c>
      <c r="D269" s="47" t="s">
        <v>21</v>
      </c>
      <c r="E269" s="33">
        <v>653.3</v>
      </c>
      <c r="F269" s="33"/>
      <c r="G269" s="33"/>
      <c r="H269" s="33">
        <v>453.2</v>
      </c>
      <c r="I269" s="33">
        <f t="shared" si="19"/>
        <v>453.2</v>
      </c>
      <c r="J269" s="33"/>
      <c r="K269" s="33"/>
      <c r="L269" s="33">
        <f t="shared" si="20"/>
        <v>-200.09999999999997</v>
      </c>
      <c r="M269" s="33">
        <f t="shared" si="21"/>
        <v>69.37088626970764</v>
      </c>
    </row>
    <row r="270" spans="1:13" ht="15.75">
      <c r="A270" s="104"/>
      <c r="B270" s="106"/>
      <c r="C270" s="23" t="s">
        <v>28</v>
      </c>
      <c r="D270" s="34" t="s">
        <v>29</v>
      </c>
      <c r="E270" s="33">
        <f>SUM(E271:E272)</f>
        <v>2.2</v>
      </c>
      <c r="F270" s="33">
        <f>SUM(F271:F272)</f>
        <v>0</v>
      </c>
      <c r="G270" s="33">
        <f>SUM(G271:G272)</f>
        <v>0</v>
      </c>
      <c r="H270" s="33">
        <f>SUM(H271:H272)</f>
        <v>0</v>
      </c>
      <c r="I270" s="33">
        <f t="shared" si="19"/>
        <v>0</v>
      </c>
      <c r="J270" s="33"/>
      <c r="K270" s="33"/>
      <c r="L270" s="33">
        <f t="shared" si="20"/>
        <v>-2.2</v>
      </c>
      <c r="M270" s="33">
        <f t="shared" si="21"/>
        <v>0</v>
      </c>
    </row>
    <row r="271" spans="1:13" ht="31.5" hidden="1">
      <c r="A271" s="104"/>
      <c r="B271" s="106"/>
      <c r="C271" s="22" t="s">
        <v>52</v>
      </c>
      <c r="D271" s="36" t="s">
        <v>53</v>
      </c>
      <c r="E271" s="33"/>
      <c r="F271" s="33"/>
      <c r="G271" s="33"/>
      <c r="H271" s="33"/>
      <c r="I271" s="33">
        <f t="shared" si="19"/>
        <v>0</v>
      </c>
      <c r="J271" s="33"/>
      <c r="K271" s="33"/>
      <c r="L271" s="33">
        <f t="shared" si="20"/>
        <v>0</v>
      </c>
      <c r="M271" s="33" t="e">
        <f t="shared" si="21"/>
        <v>#DIV/0!</v>
      </c>
    </row>
    <row r="272" spans="1:13" ht="47.25" hidden="1">
      <c r="A272" s="104"/>
      <c r="B272" s="106"/>
      <c r="C272" s="22" t="s">
        <v>32</v>
      </c>
      <c r="D272" s="36" t="s">
        <v>33</v>
      </c>
      <c r="E272" s="33">
        <v>2.2</v>
      </c>
      <c r="F272" s="33">
        <f>2050.9-2050.9</f>
        <v>0</v>
      </c>
      <c r="G272" s="33"/>
      <c r="H272" s="33"/>
      <c r="I272" s="33">
        <f t="shared" si="19"/>
        <v>0</v>
      </c>
      <c r="J272" s="33"/>
      <c r="K272" s="33"/>
      <c r="L272" s="33">
        <f t="shared" si="20"/>
        <v>-2.2</v>
      </c>
      <c r="M272" s="33">
        <f t="shared" si="21"/>
        <v>0</v>
      </c>
    </row>
    <row r="273" spans="1:13" ht="15.75">
      <c r="A273" s="104"/>
      <c r="B273" s="106"/>
      <c r="C273" s="23" t="s">
        <v>34</v>
      </c>
      <c r="D273" s="34" t="s">
        <v>35</v>
      </c>
      <c r="E273" s="33"/>
      <c r="F273" s="33"/>
      <c r="G273" s="33"/>
      <c r="H273" s="33"/>
      <c r="I273" s="33">
        <f t="shared" si="19"/>
        <v>0</v>
      </c>
      <c r="J273" s="33"/>
      <c r="K273" s="33"/>
      <c r="L273" s="33">
        <f t="shared" si="20"/>
        <v>0</v>
      </c>
      <c r="M273" s="33" t="e">
        <f t="shared" si="21"/>
        <v>#DIV/0!</v>
      </c>
    </row>
    <row r="274" spans="1:13" ht="15.75">
      <c r="A274" s="104"/>
      <c r="B274" s="106"/>
      <c r="C274" s="23" t="s">
        <v>36</v>
      </c>
      <c r="D274" s="34" t="s">
        <v>37</v>
      </c>
      <c r="E274" s="33"/>
      <c r="F274" s="33"/>
      <c r="G274" s="33"/>
      <c r="H274" s="33">
        <v>11.4</v>
      </c>
      <c r="I274" s="33">
        <f t="shared" si="19"/>
        <v>11.4</v>
      </c>
      <c r="J274" s="33"/>
      <c r="K274" s="33"/>
      <c r="L274" s="33">
        <f t="shared" si="20"/>
        <v>11.4</v>
      </c>
      <c r="M274" s="33"/>
    </row>
    <row r="275" spans="1:13" ht="15.75">
      <c r="A275" s="104"/>
      <c r="B275" s="106"/>
      <c r="C275" s="23" t="s">
        <v>39</v>
      </c>
      <c r="D275" s="34" t="s">
        <v>120</v>
      </c>
      <c r="E275" s="33">
        <v>27440.2</v>
      </c>
      <c r="F275" s="33">
        <f>764816+9678.3+40475.5+509880+240527.5-509880</f>
        <v>1055497.3</v>
      </c>
      <c r="G275" s="33">
        <v>156848</v>
      </c>
      <c r="H275" s="33"/>
      <c r="I275" s="33">
        <f t="shared" si="19"/>
        <v>-156848</v>
      </c>
      <c r="J275" s="33">
        <f aca="true" t="shared" si="22" ref="J275:J329">H275/G275*100</f>
        <v>0</v>
      </c>
      <c r="K275" s="33">
        <f aca="true" t="shared" si="23" ref="K275:K329">H275/F275*100</f>
        <v>0</v>
      </c>
      <c r="L275" s="33">
        <f t="shared" si="20"/>
        <v>-27440.2</v>
      </c>
      <c r="M275" s="33">
        <f t="shared" si="21"/>
        <v>0</v>
      </c>
    </row>
    <row r="276" spans="1:13" ht="15.75">
      <c r="A276" s="104"/>
      <c r="B276" s="106"/>
      <c r="C276" s="23" t="s">
        <v>41</v>
      </c>
      <c r="D276" s="34" t="s">
        <v>91</v>
      </c>
      <c r="E276" s="33">
        <v>16.7</v>
      </c>
      <c r="F276" s="33"/>
      <c r="G276" s="33"/>
      <c r="H276" s="33"/>
      <c r="I276" s="33">
        <f t="shared" si="19"/>
        <v>0</v>
      </c>
      <c r="J276" s="33"/>
      <c r="K276" s="33"/>
      <c r="L276" s="33">
        <f t="shared" si="20"/>
        <v>-16.7</v>
      </c>
      <c r="M276" s="33">
        <f t="shared" si="21"/>
        <v>0</v>
      </c>
    </row>
    <row r="277" spans="1:13" ht="15.75">
      <c r="A277" s="104"/>
      <c r="B277" s="106"/>
      <c r="C277" s="23" t="s">
        <v>43</v>
      </c>
      <c r="D277" s="34" t="s">
        <v>38</v>
      </c>
      <c r="E277" s="33">
        <v>-0.5</v>
      </c>
      <c r="F277" s="33"/>
      <c r="G277" s="33"/>
      <c r="H277" s="33">
        <v>-6304.2</v>
      </c>
      <c r="I277" s="33">
        <f t="shared" si="19"/>
        <v>-6304.2</v>
      </c>
      <c r="J277" s="33"/>
      <c r="K277" s="33"/>
      <c r="L277" s="33">
        <f t="shared" si="20"/>
        <v>-6303.7</v>
      </c>
      <c r="M277" s="33">
        <f t="shared" si="21"/>
        <v>1260840</v>
      </c>
    </row>
    <row r="278" spans="1:13" s="5" customFormat="1" ht="31.5">
      <c r="A278" s="104"/>
      <c r="B278" s="106"/>
      <c r="C278" s="25"/>
      <c r="D278" s="3" t="s">
        <v>48</v>
      </c>
      <c r="E278" s="4">
        <f>E279-E277</f>
        <v>28112.4</v>
      </c>
      <c r="F278" s="4">
        <f>F279-F277</f>
        <v>1055497.3</v>
      </c>
      <c r="G278" s="4">
        <f>G279-G277</f>
        <v>156848</v>
      </c>
      <c r="H278" s="4">
        <f>H279-H277</f>
        <v>464.60000000000036</v>
      </c>
      <c r="I278" s="4">
        <f t="shared" si="19"/>
        <v>-156383.4</v>
      </c>
      <c r="J278" s="4">
        <f t="shared" si="22"/>
        <v>0.2962103437723148</v>
      </c>
      <c r="K278" s="4">
        <f t="shared" si="23"/>
        <v>0.044017166126336875</v>
      </c>
      <c r="L278" s="4">
        <f t="shared" si="20"/>
        <v>-27647.800000000003</v>
      </c>
      <c r="M278" s="4">
        <f t="shared" si="21"/>
        <v>1.6526514989826566</v>
      </c>
    </row>
    <row r="279" spans="1:13" s="5" customFormat="1" ht="15.75">
      <c r="A279" s="105"/>
      <c r="B279" s="107"/>
      <c r="C279" s="25"/>
      <c r="D279" s="3" t="s">
        <v>67</v>
      </c>
      <c r="E279" s="4">
        <f>SUM(E269:E270,E273:E277)</f>
        <v>28111.9</v>
      </c>
      <c r="F279" s="4">
        <f>SUM(F269:F270,F273:F277)</f>
        <v>1055497.3</v>
      </c>
      <c r="G279" s="4">
        <f>SUM(G269:G270,G273:G277)</f>
        <v>156848</v>
      </c>
      <c r="H279" s="4">
        <f>SUM(H269:H270,H273:H277)</f>
        <v>-5839.599999999999</v>
      </c>
      <c r="I279" s="4">
        <f t="shared" si="19"/>
        <v>-162687.6</v>
      </c>
      <c r="J279" s="4">
        <f t="shared" si="22"/>
        <v>-3.7230949709272667</v>
      </c>
      <c r="K279" s="4">
        <f t="shared" si="23"/>
        <v>-0.5532557970541468</v>
      </c>
      <c r="L279" s="4">
        <f t="shared" si="20"/>
        <v>-33951.5</v>
      </c>
      <c r="M279" s="4">
        <f t="shared" si="21"/>
        <v>-20.772697683187545</v>
      </c>
    </row>
    <row r="280" spans="1:13" s="5" customFormat="1" ht="31.5">
      <c r="A280" s="100" t="s">
        <v>121</v>
      </c>
      <c r="B280" s="103" t="s">
        <v>122</v>
      </c>
      <c r="C280" s="23" t="s">
        <v>20</v>
      </c>
      <c r="D280" s="47" t="s">
        <v>21</v>
      </c>
      <c r="E280" s="33">
        <v>14005.3</v>
      </c>
      <c r="F280" s="33"/>
      <c r="G280" s="33"/>
      <c r="H280" s="33">
        <v>494.4</v>
      </c>
      <c r="I280" s="33">
        <f t="shared" si="19"/>
        <v>494.4</v>
      </c>
      <c r="J280" s="33"/>
      <c r="K280" s="33"/>
      <c r="L280" s="33">
        <f t="shared" si="20"/>
        <v>-13510.9</v>
      </c>
      <c r="M280" s="33">
        <f t="shared" si="21"/>
        <v>3.5300921793892313</v>
      </c>
    </row>
    <row r="281" spans="1:13" s="5" customFormat="1" ht="15.75">
      <c r="A281" s="104"/>
      <c r="B281" s="106"/>
      <c r="C281" s="23" t="s">
        <v>34</v>
      </c>
      <c r="D281" s="34" t="s">
        <v>35</v>
      </c>
      <c r="E281" s="33">
        <v>-855.2</v>
      </c>
      <c r="F281" s="33"/>
      <c r="G281" s="33"/>
      <c r="H281" s="33">
        <v>-408.8</v>
      </c>
      <c r="I281" s="33">
        <f t="shared" si="19"/>
        <v>-408.8</v>
      </c>
      <c r="J281" s="33"/>
      <c r="K281" s="33"/>
      <c r="L281" s="33">
        <f t="shared" si="20"/>
        <v>446.40000000000003</v>
      </c>
      <c r="M281" s="33">
        <f t="shared" si="21"/>
        <v>47.80168381665108</v>
      </c>
    </row>
    <row r="282" spans="1:13" s="5" customFormat="1" ht="78.75" customHeight="1">
      <c r="A282" s="108"/>
      <c r="B282" s="108"/>
      <c r="C282" s="23" t="s">
        <v>36</v>
      </c>
      <c r="D282" s="34" t="s">
        <v>123</v>
      </c>
      <c r="E282" s="33">
        <v>100404.2</v>
      </c>
      <c r="F282" s="33">
        <v>136506.4</v>
      </c>
      <c r="G282" s="33">
        <v>77462.3</v>
      </c>
      <c r="H282" s="33">
        <v>15883.2</v>
      </c>
      <c r="I282" s="33">
        <f t="shared" si="19"/>
        <v>-61579.100000000006</v>
      </c>
      <c r="J282" s="33">
        <f t="shared" si="22"/>
        <v>20.504426024014265</v>
      </c>
      <c r="K282" s="33">
        <f t="shared" si="23"/>
        <v>11.635498408865812</v>
      </c>
      <c r="L282" s="33">
        <f t="shared" si="20"/>
        <v>-84521</v>
      </c>
      <c r="M282" s="33">
        <f t="shared" si="21"/>
        <v>15.81925855691296</v>
      </c>
    </row>
    <row r="283" spans="1:13" s="5" customFormat="1" ht="15.75">
      <c r="A283" s="108"/>
      <c r="B283" s="108"/>
      <c r="C283" s="23" t="s">
        <v>41</v>
      </c>
      <c r="D283" s="34" t="s">
        <v>91</v>
      </c>
      <c r="E283" s="33">
        <v>23.5</v>
      </c>
      <c r="F283" s="33">
        <v>25.7</v>
      </c>
      <c r="G283" s="33">
        <v>25.7</v>
      </c>
      <c r="H283" s="33">
        <v>25.7</v>
      </c>
      <c r="I283" s="33">
        <f t="shared" si="19"/>
        <v>0</v>
      </c>
      <c r="J283" s="33">
        <f t="shared" si="22"/>
        <v>100</v>
      </c>
      <c r="K283" s="33">
        <f t="shared" si="23"/>
        <v>100</v>
      </c>
      <c r="L283" s="33">
        <f t="shared" si="20"/>
        <v>2.1999999999999993</v>
      </c>
      <c r="M283" s="33">
        <f t="shared" si="21"/>
        <v>109.36170212765957</v>
      </c>
    </row>
    <row r="284" spans="1:13" s="5" customFormat="1" ht="15.75">
      <c r="A284" s="108"/>
      <c r="B284" s="108"/>
      <c r="C284" s="23" t="s">
        <v>59</v>
      </c>
      <c r="D284" s="36" t="s">
        <v>60</v>
      </c>
      <c r="E284" s="33"/>
      <c r="F284" s="33">
        <v>4924.9</v>
      </c>
      <c r="G284" s="33">
        <v>1641.6</v>
      </c>
      <c r="H284" s="33"/>
      <c r="I284" s="33">
        <f t="shared" si="19"/>
        <v>-1641.6</v>
      </c>
      <c r="J284" s="33"/>
      <c r="K284" s="33">
        <f t="shared" si="23"/>
        <v>0</v>
      </c>
      <c r="L284" s="33">
        <f t="shared" si="20"/>
        <v>0</v>
      </c>
      <c r="M284" s="33"/>
    </row>
    <row r="285" spans="1:13" s="5" customFormat="1" ht="15.75">
      <c r="A285" s="108"/>
      <c r="B285" s="108"/>
      <c r="C285" s="23" t="s">
        <v>43</v>
      </c>
      <c r="D285" s="34" t="s">
        <v>38</v>
      </c>
      <c r="E285" s="33">
        <v>-591.6</v>
      </c>
      <c r="F285" s="33"/>
      <c r="G285" s="33"/>
      <c r="H285" s="33">
        <v>-14824.4</v>
      </c>
      <c r="I285" s="33">
        <f t="shared" si="19"/>
        <v>-14824.4</v>
      </c>
      <c r="J285" s="33"/>
      <c r="K285" s="33"/>
      <c r="L285" s="33">
        <f t="shared" si="20"/>
        <v>-14232.8</v>
      </c>
      <c r="M285" s="33">
        <f t="shared" si="21"/>
        <v>2505.814739688979</v>
      </c>
    </row>
    <row r="286" spans="1:13" s="5" customFormat="1" ht="15.75">
      <c r="A286" s="108"/>
      <c r="B286" s="108"/>
      <c r="C286" s="25"/>
      <c r="D286" s="3" t="s">
        <v>44</v>
      </c>
      <c r="E286" s="4">
        <f>SUM(E280:E285)</f>
        <v>112986.19999999998</v>
      </c>
      <c r="F286" s="4">
        <f>SUM(F280:F285)</f>
        <v>141457</v>
      </c>
      <c r="G286" s="4">
        <f>SUM(G280:G285)</f>
        <v>79129.6</v>
      </c>
      <c r="H286" s="4">
        <f>SUM(H280:H285)</f>
        <v>1170.1000000000022</v>
      </c>
      <c r="I286" s="4">
        <f t="shared" si="19"/>
        <v>-77959.5</v>
      </c>
      <c r="J286" s="4">
        <f t="shared" si="22"/>
        <v>1.478713401811714</v>
      </c>
      <c r="K286" s="4">
        <f t="shared" si="23"/>
        <v>0.827177163378272</v>
      </c>
      <c r="L286" s="4">
        <f t="shared" si="20"/>
        <v>-111816.09999999998</v>
      </c>
      <c r="M286" s="4">
        <f t="shared" si="21"/>
        <v>1.03561319878003</v>
      </c>
    </row>
    <row r="287" spans="1:13" ht="15.75">
      <c r="A287" s="108"/>
      <c r="B287" s="108"/>
      <c r="C287" s="23" t="s">
        <v>124</v>
      </c>
      <c r="D287" s="50" t="s">
        <v>125</v>
      </c>
      <c r="E287" s="33">
        <v>402124.2</v>
      </c>
      <c r="F287" s="33">
        <f>198120.2+703953.2</f>
        <v>902073.3999999999</v>
      </c>
      <c r="G287" s="33">
        <f>120684.3+61140.4</f>
        <v>181824.7</v>
      </c>
      <c r="H287" s="33">
        <f>102974.1+47723.8</f>
        <v>150697.90000000002</v>
      </c>
      <c r="I287" s="33">
        <f t="shared" si="19"/>
        <v>-31126.79999999999</v>
      </c>
      <c r="J287" s="33">
        <f t="shared" si="22"/>
        <v>82.88087372067712</v>
      </c>
      <c r="K287" s="33">
        <f t="shared" si="23"/>
        <v>16.70572483347808</v>
      </c>
      <c r="L287" s="33">
        <f t="shared" si="20"/>
        <v>-251426.3</v>
      </c>
      <c r="M287" s="33">
        <f t="shared" si="21"/>
        <v>37.4754615613783</v>
      </c>
    </row>
    <row r="288" spans="1:13" ht="15.75">
      <c r="A288" s="108"/>
      <c r="B288" s="108"/>
      <c r="C288" s="23" t="s">
        <v>126</v>
      </c>
      <c r="D288" s="34" t="s">
        <v>127</v>
      </c>
      <c r="E288" s="33">
        <v>99878.8</v>
      </c>
      <c r="F288" s="33">
        <v>187783.8</v>
      </c>
      <c r="G288" s="33">
        <v>106119.6</v>
      </c>
      <c r="H288" s="33">
        <v>123705.9</v>
      </c>
      <c r="I288" s="33">
        <f t="shared" si="19"/>
        <v>17586.29999999999</v>
      </c>
      <c r="J288" s="33">
        <f t="shared" si="22"/>
        <v>116.57215066773713</v>
      </c>
      <c r="K288" s="33">
        <f t="shared" si="23"/>
        <v>65.87676892255881</v>
      </c>
      <c r="L288" s="33">
        <f t="shared" si="20"/>
        <v>23827.09999999999</v>
      </c>
      <c r="M288" s="33">
        <f t="shared" si="21"/>
        <v>123.85601348834787</v>
      </c>
    </row>
    <row r="289" spans="1:13" ht="15.75">
      <c r="A289" s="108"/>
      <c r="B289" s="108"/>
      <c r="C289" s="23" t="s">
        <v>28</v>
      </c>
      <c r="D289" s="34" t="s">
        <v>29</v>
      </c>
      <c r="E289" s="33">
        <f>E290+E291</f>
        <v>34706.4</v>
      </c>
      <c r="F289" s="33">
        <f>F290+F291</f>
        <v>80770.8</v>
      </c>
      <c r="G289" s="33">
        <f>G290+G291</f>
        <v>38962.3</v>
      </c>
      <c r="H289" s="33">
        <f>H290+H291</f>
        <v>38147.4</v>
      </c>
      <c r="I289" s="33">
        <f t="shared" si="19"/>
        <v>-814.9000000000015</v>
      </c>
      <c r="J289" s="33">
        <f t="shared" si="22"/>
        <v>97.90849102850704</v>
      </c>
      <c r="K289" s="33">
        <f t="shared" si="23"/>
        <v>47.22919668989288</v>
      </c>
      <c r="L289" s="33">
        <f t="shared" si="20"/>
        <v>3441</v>
      </c>
      <c r="M289" s="33">
        <f t="shared" si="21"/>
        <v>109.91459788396376</v>
      </c>
    </row>
    <row r="290" spans="1:13" s="5" customFormat="1" ht="31.5" hidden="1">
      <c r="A290" s="108"/>
      <c r="B290" s="108"/>
      <c r="C290" s="22" t="s">
        <v>128</v>
      </c>
      <c r="D290" s="36" t="s">
        <v>129</v>
      </c>
      <c r="E290" s="33">
        <v>34637.9</v>
      </c>
      <c r="F290" s="33">
        <v>80638.8</v>
      </c>
      <c r="G290" s="33">
        <v>38885.3</v>
      </c>
      <c r="H290" s="33">
        <v>37994</v>
      </c>
      <c r="I290" s="33">
        <f t="shared" si="19"/>
        <v>-891.3000000000029</v>
      </c>
      <c r="J290" s="33">
        <f t="shared" si="22"/>
        <v>97.70787418381752</v>
      </c>
      <c r="K290" s="33">
        <f t="shared" si="23"/>
        <v>47.11627653189284</v>
      </c>
      <c r="L290" s="33">
        <f t="shared" si="20"/>
        <v>3356.0999999999985</v>
      </c>
      <c r="M290" s="33">
        <f t="shared" si="21"/>
        <v>109.68909778017719</v>
      </c>
    </row>
    <row r="291" spans="1:13" s="5" customFormat="1" ht="47.25" hidden="1">
      <c r="A291" s="108"/>
      <c r="B291" s="108"/>
      <c r="C291" s="22" t="s">
        <v>32</v>
      </c>
      <c r="D291" s="36" t="s">
        <v>33</v>
      </c>
      <c r="E291" s="33">
        <v>68.5</v>
      </c>
      <c r="F291" s="33">
        <v>132</v>
      </c>
      <c r="G291" s="33">
        <v>77</v>
      </c>
      <c r="H291" s="33">
        <v>153.4</v>
      </c>
      <c r="I291" s="33">
        <f t="shared" si="19"/>
        <v>76.4</v>
      </c>
      <c r="J291" s="33">
        <f t="shared" si="22"/>
        <v>199.22077922077924</v>
      </c>
      <c r="K291" s="33">
        <f t="shared" si="23"/>
        <v>116.21212121212122</v>
      </c>
      <c r="L291" s="33">
        <f t="shared" si="20"/>
        <v>84.9</v>
      </c>
      <c r="M291" s="33">
        <f t="shared" si="21"/>
        <v>223.94160583941604</v>
      </c>
    </row>
    <row r="292" spans="1:13" s="5" customFormat="1" ht="15.75">
      <c r="A292" s="108"/>
      <c r="B292" s="108"/>
      <c r="C292" s="25"/>
      <c r="D292" s="3" t="s">
        <v>47</v>
      </c>
      <c r="E292" s="4">
        <f>SUM(E287:E289)</f>
        <v>536709.4</v>
      </c>
      <c r="F292" s="4">
        <f>SUM(F287:F289)</f>
        <v>1170628</v>
      </c>
      <c r="G292" s="4">
        <f>SUM(G287:G289)</f>
        <v>326906.60000000003</v>
      </c>
      <c r="H292" s="4">
        <f>SUM(H287:H289)</f>
        <v>312551.20000000007</v>
      </c>
      <c r="I292" s="4">
        <f t="shared" si="19"/>
        <v>-14355.399999999965</v>
      </c>
      <c r="J292" s="4">
        <f t="shared" si="22"/>
        <v>95.6087151498318</v>
      </c>
      <c r="K292" s="4">
        <f t="shared" si="23"/>
        <v>26.699446792661725</v>
      </c>
      <c r="L292" s="4">
        <f t="shared" si="20"/>
        <v>-224158.19999999995</v>
      </c>
      <c r="M292" s="4">
        <f t="shared" si="21"/>
        <v>58.2347169622891</v>
      </c>
    </row>
    <row r="293" spans="1:13" s="5" customFormat="1" ht="31.5">
      <c r="A293" s="108"/>
      <c r="B293" s="108"/>
      <c r="C293" s="25"/>
      <c r="D293" s="3" t="s">
        <v>48</v>
      </c>
      <c r="E293" s="4">
        <f>E294-E285</f>
        <v>650287.2</v>
      </c>
      <c r="F293" s="4">
        <f>F294-F285</f>
        <v>1312085</v>
      </c>
      <c r="G293" s="4">
        <f>G294-G285</f>
        <v>406036.20000000007</v>
      </c>
      <c r="H293" s="4">
        <f>H294-H285</f>
        <v>328545.70000000007</v>
      </c>
      <c r="I293" s="4">
        <f t="shared" si="19"/>
        <v>-77490.5</v>
      </c>
      <c r="J293" s="4">
        <f t="shared" si="22"/>
        <v>80.91537158509513</v>
      </c>
      <c r="K293" s="4">
        <f t="shared" si="23"/>
        <v>25.039970733603393</v>
      </c>
      <c r="L293" s="4">
        <f t="shared" si="20"/>
        <v>-321741.4999999999</v>
      </c>
      <c r="M293" s="4">
        <f t="shared" si="21"/>
        <v>50.52316883986031</v>
      </c>
    </row>
    <row r="294" spans="1:13" s="5" customFormat="1" ht="15.75">
      <c r="A294" s="109"/>
      <c r="B294" s="109"/>
      <c r="C294" s="25"/>
      <c r="D294" s="3" t="s">
        <v>67</v>
      </c>
      <c r="E294" s="4">
        <f>E286+E292</f>
        <v>649695.6</v>
      </c>
      <c r="F294" s="4">
        <f>F286+F292</f>
        <v>1312085</v>
      </c>
      <c r="G294" s="4">
        <f>G286+G292</f>
        <v>406036.20000000007</v>
      </c>
      <c r="H294" s="4">
        <f>H286+H292</f>
        <v>313721.30000000005</v>
      </c>
      <c r="I294" s="4">
        <f t="shared" si="19"/>
        <v>-92314.90000000002</v>
      </c>
      <c r="J294" s="4">
        <f t="shared" si="22"/>
        <v>77.26436706874904</v>
      </c>
      <c r="K294" s="4">
        <f t="shared" si="23"/>
        <v>23.910135395191627</v>
      </c>
      <c r="L294" s="4">
        <f t="shared" si="20"/>
        <v>-335974.29999999993</v>
      </c>
      <c r="M294" s="4">
        <f t="shared" si="21"/>
        <v>48.28742875894497</v>
      </c>
    </row>
    <row r="295" spans="1:13" s="5" customFormat="1" ht="31.5">
      <c r="A295" s="100" t="s">
        <v>130</v>
      </c>
      <c r="B295" s="103" t="s">
        <v>131</v>
      </c>
      <c r="C295" s="23" t="s">
        <v>20</v>
      </c>
      <c r="D295" s="47" t="s">
        <v>21</v>
      </c>
      <c r="E295" s="33">
        <v>15.3</v>
      </c>
      <c r="F295" s="4"/>
      <c r="G295" s="4"/>
      <c r="H295" s="33"/>
      <c r="I295" s="33">
        <f t="shared" si="19"/>
        <v>0</v>
      </c>
      <c r="J295" s="33"/>
      <c r="K295" s="33"/>
      <c r="L295" s="33">
        <f t="shared" si="20"/>
        <v>-15.3</v>
      </c>
      <c r="M295" s="33">
        <f t="shared" si="21"/>
        <v>0</v>
      </c>
    </row>
    <row r="296" spans="1:13" s="5" customFormat="1" ht="15.75" hidden="1">
      <c r="A296" s="104"/>
      <c r="B296" s="106"/>
      <c r="C296" s="23" t="s">
        <v>34</v>
      </c>
      <c r="D296" s="34" t="s">
        <v>35</v>
      </c>
      <c r="E296" s="33"/>
      <c r="F296" s="4"/>
      <c r="G296" s="4"/>
      <c r="H296" s="33"/>
      <c r="I296" s="33">
        <f t="shared" si="19"/>
        <v>0</v>
      </c>
      <c r="J296" s="33" t="e">
        <f t="shared" si="22"/>
        <v>#DIV/0!</v>
      </c>
      <c r="K296" s="33" t="e">
        <f t="shared" si="23"/>
        <v>#DIV/0!</v>
      </c>
      <c r="L296" s="33">
        <f t="shared" si="20"/>
        <v>0</v>
      </c>
      <c r="M296" s="33" t="e">
        <f t="shared" si="21"/>
        <v>#DIV/0!</v>
      </c>
    </row>
    <row r="297" spans="1:13" s="5" customFormat="1" ht="15.75" hidden="1">
      <c r="A297" s="104"/>
      <c r="B297" s="106"/>
      <c r="C297" s="23" t="s">
        <v>59</v>
      </c>
      <c r="D297" s="36" t="s">
        <v>60</v>
      </c>
      <c r="E297" s="33"/>
      <c r="F297" s="33"/>
      <c r="G297" s="33"/>
      <c r="H297" s="33"/>
      <c r="I297" s="33">
        <f t="shared" si="19"/>
        <v>0</v>
      </c>
      <c r="J297" s="33" t="e">
        <f t="shared" si="22"/>
        <v>#DIV/0!</v>
      </c>
      <c r="K297" s="33" t="e">
        <f t="shared" si="23"/>
        <v>#DIV/0!</v>
      </c>
      <c r="L297" s="33">
        <f t="shared" si="20"/>
        <v>0</v>
      </c>
      <c r="M297" s="33" t="e">
        <f t="shared" si="21"/>
        <v>#DIV/0!</v>
      </c>
    </row>
    <row r="298" spans="1:13" s="5" customFormat="1" ht="15.75">
      <c r="A298" s="104"/>
      <c r="B298" s="106"/>
      <c r="C298" s="23" t="s">
        <v>43</v>
      </c>
      <c r="D298" s="34" t="s">
        <v>38</v>
      </c>
      <c r="E298" s="33">
        <v>-674.2</v>
      </c>
      <c r="F298" s="33"/>
      <c r="G298" s="33"/>
      <c r="H298" s="33">
        <v>-216.6</v>
      </c>
      <c r="I298" s="33">
        <f t="shared" si="19"/>
        <v>-216.6</v>
      </c>
      <c r="J298" s="33"/>
      <c r="K298" s="33"/>
      <c r="L298" s="33">
        <f t="shared" si="20"/>
        <v>457.6</v>
      </c>
      <c r="M298" s="33">
        <f t="shared" si="21"/>
        <v>32.12696529219816</v>
      </c>
    </row>
    <row r="299" spans="1:13" s="5" customFormat="1" ht="15.75">
      <c r="A299" s="108"/>
      <c r="B299" s="108"/>
      <c r="C299" s="25"/>
      <c r="D299" s="3" t="s">
        <v>44</v>
      </c>
      <c r="E299" s="4">
        <f>SUM(E295:E298)</f>
        <v>-658.9000000000001</v>
      </c>
      <c r="F299" s="4">
        <f>SUM(F295:F298)</f>
        <v>0</v>
      </c>
      <c r="G299" s="4">
        <f>SUM(G295:G298)</f>
        <v>0</v>
      </c>
      <c r="H299" s="4">
        <f>SUM(H295:H298)</f>
        <v>-216.6</v>
      </c>
      <c r="I299" s="4">
        <f t="shared" si="19"/>
        <v>-216.6</v>
      </c>
      <c r="J299" s="4"/>
      <c r="K299" s="4"/>
      <c r="L299" s="4">
        <f t="shared" si="20"/>
        <v>442.30000000000007</v>
      </c>
      <c r="M299" s="4">
        <f t="shared" si="21"/>
        <v>32.87297010168462</v>
      </c>
    </row>
    <row r="300" spans="1:13" ht="15.75">
      <c r="A300" s="108"/>
      <c r="B300" s="108"/>
      <c r="C300" s="23" t="s">
        <v>132</v>
      </c>
      <c r="D300" s="34" t="s">
        <v>133</v>
      </c>
      <c r="E300" s="33">
        <v>3441988.8</v>
      </c>
      <c r="F300" s="54">
        <f>153835.9+458.3+6490621.1+117011.9+6050.2+14629.9+268.8+49192.7</f>
        <v>6832068.800000001</v>
      </c>
      <c r="G300" s="33">
        <v>3740840.6</v>
      </c>
      <c r="H300" s="33">
        <f>118937+341.5+3721465.5+95597.2+4755+6026.5-0.2+460.4+1779.3</f>
        <v>3949362.1999999997</v>
      </c>
      <c r="I300" s="33">
        <f t="shared" si="19"/>
        <v>208521.59999999963</v>
      </c>
      <c r="J300" s="33">
        <f t="shared" si="22"/>
        <v>105.57419099867553</v>
      </c>
      <c r="K300" s="33">
        <f t="shared" si="23"/>
        <v>57.80624164674687</v>
      </c>
      <c r="L300" s="33">
        <f t="shared" si="20"/>
        <v>507373.3999999999</v>
      </c>
      <c r="M300" s="33">
        <f t="shared" si="21"/>
        <v>114.74070456010782</v>
      </c>
    </row>
    <row r="301" spans="1:13" ht="15.75">
      <c r="A301" s="108"/>
      <c r="B301" s="108"/>
      <c r="C301" s="23" t="s">
        <v>210</v>
      </c>
      <c r="D301" s="34" t="s">
        <v>209</v>
      </c>
      <c r="E301" s="33">
        <v>306891.6</v>
      </c>
      <c r="F301" s="33">
        <v>483544</v>
      </c>
      <c r="G301" s="33">
        <f>227749.3+111454.8</f>
        <v>339204.1</v>
      </c>
      <c r="H301" s="33">
        <f>223659.5+111135.9</f>
        <v>334795.4</v>
      </c>
      <c r="I301" s="33">
        <f t="shared" si="19"/>
        <v>-4408.699999999953</v>
      </c>
      <c r="J301" s="33">
        <f t="shared" si="22"/>
        <v>98.70028104023508</v>
      </c>
      <c r="K301" s="33">
        <f t="shared" si="23"/>
        <v>69.23783564680774</v>
      </c>
      <c r="L301" s="33">
        <f t="shared" si="20"/>
        <v>27903.800000000047</v>
      </c>
      <c r="M301" s="33">
        <f t="shared" si="21"/>
        <v>109.09239614248159</v>
      </c>
    </row>
    <row r="302" spans="1:13" ht="15.75">
      <c r="A302" s="108"/>
      <c r="B302" s="108"/>
      <c r="C302" s="23" t="s">
        <v>28</v>
      </c>
      <c r="D302" s="34" t="s">
        <v>29</v>
      </c>
      <c r="E302" s="33">
        <f>E303+E304+E305</f>
        <v>2726.4</v>
      </c>
      <c r="F302" s="33">
        <f>F303+F304+F305</f>
        <v>4346</v>
      </c>
      <c r="G302" s="33">
        <f>G303+G304+G305</f>
        <v>2505.2</v>
      </c>
      <c r="H302" s="33">
        <f>H303+H304+H305</f>
        <v>4862</v>
      </c>
      <c r="I302" s="33">
        <f t="shared" si="19"/>
        <v>2356.8</v>
      </c>
      <c r="J302" s="33">
        <f t="shared" si="22"/>
        <v>194.0763212517963</v>
      </c>
      <c r="K302" s="33">
        <f t="shared" si="23"/>
        <v>111.87298665439485</v>
      </c>
      <c r="L302" s="33">
        <f t="shared" si="20"/>
        <v>2135.6</v>
      </c>
      <c r="M302" s="33">
        <f t="shared" si="21"/>
        <v>178.33039906103286</v>
      </c>
    </row>
    <row r="303" spans="1:13" ht="78.75" hidden="1">
      <c r="A303" s="108"/>
      <c r="B303" s="108"/>
      <c r="C303" s="22" t="s">
        <v>134</v>
      </c>
      <c r="D303" s="36" t="s">
        <v>135</v>
      </c>
      <c r="E303" s="33">
        <v>1114.4</v>
      </c>
      <c r="F303" s="33">
        <v>2000</v>
      </c>
      <c r="G303" s="33">
        <v>1121.8</v>
      </c>
      <c r="H303" s="33">
        <v>2402.6</v>
      </c>
      <c r="I303" s="33">
        <f t="shared" si="19"/>
        <v>1280.8</v>
      </c>
      <c r="J303" s="33">
        <f t="shared" si="22"/>
        <v>214.17364949188803</v>
      </c>
      <c r="K303" s="33">
        <f t="shared" si="23"/>
        <v>120.13000000000001</v>
      </c>
      <c r="L303" s="33">
        <f t="shared" si="20"/>
        <v>1288.1999999999998</v>
      </c>
      <c r="M303" s="33">
        <f t="shared" si="21"/>
        <v>215.5958363244795</v>
      </c>
    </row>
    <row r="304" spans="1:13" ht="63" hidden="1">
      <c r="A304" s="108"/>
      <c r="B304" s="108"/>
      <c r="C304" s="22" t="s">
        <v>136</v>
      </c>
      <c r="D304" s="36" t="s">
        <v>137</v>
      </c>
      <c r="E304" s="33">
        <v>580</v>
      </c>
      <c r="F304" s="33">
        <v>1000</v>
      </c>
      <c r="G304" s="33">
        <v>651.7</v>
      </c>
      <c r="H304" s="33">
        <v>863.9</v>
      </c>
      <c r="I304" s="33">
        <f t="shared" si="19"/>
        <v>212.19999999999993</v>
      </c>
      <c r="J304" s="33">
        <f t="shared" si="22"/>
        <v>132.56099432254103</v>
      </c>
      <c r="K304" s="33">
        <f t="shared" si="23"/>
        <v>86.39</v>
      </c>
      <c r="L304" s="33">
        <f t="shared" si="20"/>
        <v>283.9</v>
      </c>
      <c r="M304" s="33">
        <f t="shared" si="21"/>
        <v>148.94827586206895</v>
      </c>
    </row>
    <row r="305" spans="1:13" ht="47.25" hidden="1">
      <c r="A305" s="108"/>
      <c r="B305" s="108"/>
      <c r="C305" s="22" t="s">
        <v>32</v>
      </c>
      <c r="D305" s="36" t="s">
        <v>33</v>
      </c>
      <c r="E305" s="33">
        <v>1032</v>
      </c>
      <c r="F305" s="33">
        <v>1346</v>
      </c>
      <c r="G305" s="33">
        <v>731.7</v>
      </c>
      <c r="H305" s="33">
        <v>1595.5</v>
      </c>
      <c r="I305" s="33">
        <f t="shared" si="19"/>
        <v>863.8</v>
      </c>
      <c r="J305" s="33">
        <f t="shared" si="22"/>
        <v>218.0538472051387</v>
      </c>
      <c r="K305" s="33">
        <f t="shared" si="23"/>
        <v>118.53640416047548</v>
      </c>
      <c r="L305" s="33">
        <f t="shared" si="20"/>
        <v>563.5</v>
      </c>
      <c r="M305" s="33">
        <f t="shared" si="21"/>
        <v>154.60271317829458</v>
      </c>
    </row>
    <row r="306" spans="1:13" s="5" customFormat="1" ht="15.75">
      <c r="A306" s="108"/>
      <c r="B306" s="108"/>
      <c r="C306" s="27"/>
      <c r="D306" s="3" t="s">
        <v>47</v>
      </c>
      <c r="E306" s="4">
        <f>SUM(E300:E302)</f>
        <v>3751606.8</v>
      </c>
      <c r="F306" s="4">
        <f>SUM(F300:F302)</f>
        <v>7319958.800000001</v>
      </c>
      <c r="G306" s="4">
        <f>SUM(G300:G302)</f>
        <v>4082549.9000000004</v>
      </c>
      <c r="H306" s="4">
        <f>SUM(H300:H302)</f>
        <v>4289019.6</v>
      </c>
      <c r="I306" s="4">
        <f t="shared" si="19"/>
        <v>206469.69999999925</v>
      </c>
      <c r="J306" s="4">
        <f t="shared" si="22"/>
        <v>105.05737112974415</v>
      </c>
      <c r="K306" s="4">
        <f t="shared" si="23"/>
        <v>58.5934937229428</v>
      </c>
      <c r="L306" s="4">
        <f t="shared" si="20"/>
        <v>537412.7999999998</v>
      </c>
      <c r="M306" s="4">
        <f t="shared" si="21"/>
        <v>114.32487007966824</v>
      </c>
    </row>
    <row r="307" spans="1:13" s="5" customFormat="1" ht="31.5">
      <c r="A307" s="108"/>
      <c r="B307" s="108"/>
      <c r="C307" s="27"/>
      <c r="D307" s="3" t="s">
        <v>48</v>
      </c>
      <c r="E307" s="4">
        <f>E308-E298</f>
        <v>3751622.1</v>
      </c>
      <c r="F307" s="4">
        <f>F308-F298</f>
        <v>7319958.800000001</v>
      </c>
      <c r="G307" s="4">
        <f>G308-G298</f>
        <v>4082549.9000000004</v>
      </c>
      <c r="H307" s="4">
        <f>H308-H298</f>
        <v>4289019.6</v>
      </c>
      <c r="I307" s="4">
        <f t="shared" si="19"/>
        <v>206469.69999999925</v>
      </c>
      <c r="J307" s="4">
        <f t="shared" si="22"/>
        <v>105.05737112974415</v>
      </c>
      <c r="K307" s="4">
        <f t="shared" si="23"/>
        <v>58.5934937229428</v>
      </c>
      <c r="L307" s="4">
        <f t="shared" si="20"/>
        <v>537397.4999999995</v>
      </c>
      <c r="M307" s="4">
        <f t="shared" si="21"/>
        <v>114.32440383587674</v>
      </c>
    </row>
    <row r="308" spans="1:13" s="5" customFormat="1" ht="15.75">
      <c r="A308" s="109"/>
      <c r="B308" s="109"/>
      <c r="C308" s="25"/>
      <c r="D308" s="3" t="s">
        <v>67</v>
      </c>
      <c r="E308" s="4">
        <f>E299+E306</f>
        <v>3750947.9</v>
      </c>
      <c r="F308" s="4">
        <f>F299+F306</f>
        <v>7319958.800000001</v>
      </c>
      <c r="G308" s="4">
        <f>G299+G306</f>
        <v>4082549.9000000004</v>
      </c>
      <c r="H308" s="4">
        <f>H299+H306</f>
        <v>4288803</v>
      </c>
      <c r="I308" s="4">
        <f t="shared" si="19"/>
        <v>206253.09999999963</v>
      </c>
      <c r="J308" s="4">
        <f t="shared" si="22"/>
        <v>105.05206562202704</v>
      </c>
      <c r="K308" s="4">
        <f t="shared" si="23"/>
        <v>58.5905346898947</v>
      </c>
      <c r="L308" s="4">
        <f t="shared" si="20"/>
        <v>537855.1000000001</v>
      </c>
      <c r="M308" s="4">
        <f t="shared" si="21"/>
        <v>114.33917810481987</v>
      </c>
    </row>
    <row r="309" spans="1:13" s="5" customFormat="1" ht="31.5">
      <c r="A309" s="103">
        <v>955</v>
      </c>
      <c r="B309" s="103" t="s">
        <v>138</v>
      </c>
      <c r="C309" s="23" t="s">
        <v>20</v>
      </c>
      <c r="D309" s="47" t="s">
        <v>21</v>
      </c>
      <c r="E309" s="33">
        <v>251.6</v>
      </c>
      <c r="F309" s="4"/>
      <c r="G309" s="4"/>
      <c r="H309" s="33">
        <v>894.5</v>
      </c>
      <c r="I309" s="33">
        <f t="shared" si="19"/>
        <v>894.5</v>
      </c>
      <c r="J309" s="33"/>
      <c r="K309" s="33"/>
      <c r="L309" s="33">
        <f t="shared" si="20"/>
        <v>642.9</v>
      </c>
      <c r="M309" s="33">
        <f t="shared" si="21"/>
        <v>355.5246422893482</v>
      </c>
    </row>
    <row r="310" spans="1:13" s="5" customFormat="1" ht="15.75">
      <c r="A310" s="108"/>
      <c r="B310" s="108"/>
      <c r="C310" s="23" t="s">
        <v>34</v>
      </c>
      <c r="D310" s="34" t="s">
        <v>35</v>
      </c>
      <c r="E310" s="33">
        <v>14.9</v>
      </c>
      <c r="F310" s="4"/>
      <c r="G310" s="4"/>
      <c r="H310" s="33">
        <v>13.8</v>
      </c>
      <c r="I310" s="33">
        <f t="shared" si="19"/>
        <v>13.8</v>
      </c>
      <c r="J310" s="33"/>
      <c r="K310" s="33"/>
      <c r="L310" s="33">
        <f t="shared" si="20"/>
        <v>-1.0999999999999996</v>
      </c>
      <c r="M310" s="33"/>
    </row>
    <row r="311" spans="1:13" ht="15.75" hidden="1">
      <c r="A311" s="108"/>
      <c r="B311" s="108"/>
      <c r="C311" s="23" t="s">
        <v>39</v>
      </c>
      <c r="D311" s="34" t="s">
        <v>120</v>
      </c>
      <c r="E311" s="52"/>
      <c r="F311" s="52"/>
      <c r="G311" s="52"/>
      <c r="H311" s="52"/>
      <c r="I311" s="52">
        <f t="shared" si="19"/>
        <v>0</v>
      </c>
      <c r="J311" s="52" t="e">
        <f t="shared" si="22"/>
        <v>#DIV/0!</v>
      </c>
      <c r="K311" s="52" t="e">
        <f t="shared" si="23"/>
        <v>#DIV/0!</v>
      </c>
      <c r="L311" s="52">
        <f t="shared" si="20"/>
        <v>0</v>
      </c>
      <c r="M311" s="52" t="e">
        <f t="shared" si="21"/>
        <v>#DIV/0!</v>
      </c>
    </row>
    <row r="312" spans="1:13" ht="15.75">
      <c r="A312" s="108"/>
      <c r="B312" s="108"/>
      <c r="C312" s="23" t="s">
        <v>41</v>
      </c>
      <c r="D312" s="34" t="s">
        <v>91</v>
      </c>
      <c r="E312" s="33">
        <v>46255.5</v>
      </c>
      <c r="F312" s="52">
        <v>97397.6</v>
      </c>
      <c r="G312" s="52">
        <v>71424.9</v>
      </c>
      <c r="H312" s="52">
        <v>97397.6</v>
      </c>
      <c r="I312" s="52">
        <f t="shared" si="19"/>
        <v>25972.70000000001</v>
      </c>
      <c r="J312" s="52">
        <f t="shared" si="22"/>
        <v>136.36364909156333</v>
      </c>
      <c r="K312" s="52">
        <f t="shared" si="23"/>
        <v>100</v>
      </c>
      <c r="L312" s="52">
        <f t="shared" si="20"/>
        <v>51142.100000000006</v>
      </c>
      <c r="M312" s="52"/>
    </row>
    <row r="313" spans="1:13" ht="15.75" hidden="1">
      <c r="A313" s="108"/>
      <c r="B313" s="108"/>
      <c r="C313" s="23" t="s">
        <v>59</v>
      </c>
      <c r="D313" s="36" t="s">
        <v>60</v>
      </c>
      <c r="E313" s="52"/>
      <c r="F313" s="52"/>
      <c r="G313" s="52"/>
      <c r="H313" s="52"/>
      <c r="I313" s="52">
        <f t="shared" si="19"/>
        <v>0</v>
      </c>
      <c r="J313" s="52" t="e">
        <f t="shared" si="22"/>
        <v>#DIV/0!</v>
      </c>
      <c r="K313" s="52" t="e">
        <f t="shared" si="23"/>
        <v>#DIV/0!</v>
      </c>
      <c r="L313" s="52">
        <f t="shared" si="20"/>
        <v>0</v>
      </c>
      <c r="M313" s="52" t="e">
        <f t="shared" si="21"/>
        <v>#DIV/0!</v>
      </c>
    </row>
    <row r="314" spans="1:13" ht="15.75">
      <c r="A314" s="108"/>
      <c r="B314" s="108"/>
      <c r="C314" s="23" t="s">
        <v>43</v>
      </c>
      <c r="D314" s="34" t="s">
        <v>38</v>
      </c>
      <c r="E314" s="52">
        <v>-2870.5</v>
      </c>
      <c r="F314" s="52"/>
      <c r="G314" s="52"/>
      <c r="H314" s="52">
        <v>-3871.2</v>
      </c>
      <c r="I314" s="52">
        <f t="shared" si="19"/>
        <v>-3871.2</v>
      </c>
      <c r="J314" s="52"/>
      <c r="K314" s="52"/>
      <c r="L314" s="52">
        <f t="shared" si="20"/>
        <v>-1000.6999999999998</v>
      </c>
      <c r="M314" s="52">
        <f t="shared" si="21"/>
        <v>134.86152238286013</v>
      </c>
    </row>
    <row r="315" spans="1:13" s="5" customFormat="1" ht="31.5">
      <c r="A315" s="108"/>
      <c r="B315" s="108"/>
      <c r="C315" s="25"/>
      <c r="D315" s="3" t="s">
        <v>48</v>
      </c>
      <c r="E315" s="8">
        <f>E316-E314</f>
        <v>46522</v>
      </c>
      <c r="F315" s="8">
        <f>F316-F314</f>
        <v>97397.6</v>
      </c>
      <c r="G315" s="8">
        <f>G316-G314</f>
        <v>71424.9</v>
      </c>
      <c r="H315" s="8">
        <f>H316-H314</f>
        <v>98305.90000000001</v>
      </c>
      <c r="I315" s="8">
        <f t="shared" si="19"/>
        <v>26881.000000000015</v>
      </c>
      <c r="J315" s="8">
        <f t="shared" si="22"/>
        <v>137.63533445619106</v>
      </c>
      <c r="K315" s="8">
        <f t="shared" si="23"/>
        <v>100.9325691803494</v>
      </c>
      <c r="L315" s="8">
        <f t="shared" si="20"/>
        <v>51783.90000000001</v>
      </c>
      <c r="M315" s="8">
        <f t="shared" si="21"/>
        <v>211.310562744508</v>
      </c>
    </row>
    <row r="316" spans="1:13" s="5" customFormat="1" ht="15.75">
      <c r="A316" s="109"/>
      <c r="B316" s="109"/>
      <c r="C316" s="24"/>
      <c r="D316" s="3" t="s">
        <v>67</v>
      </c>
      <c r="E316" s="8">
        <f>SUM(E309:E314)</f>
        <v>43651.5</v>
      </c>
      <c r="F316" s="8">
        <f>SUM(F309:F314)</f>
        <v>97397.6</v>
      </c>
      <c r="G316" s="8">
        <f>SUM(G309:G314)</f>
        <v>71424.9</v>
      </c>
      <c r="H316" s="8">
        <f>SUM(H309:H314)</f>
        <v>94434.70000000001</v>
      </c>
      <c r="I316" s="8">
        <f t="shared" si="19"/>
        <v>23009.800000000017</v>
      </c>
      <c r="J316" s="8">
        <f t="shared" si="22"/>
        <v>132.21537587031975</v>
      </c>
      <c r="K316" s="8">
        <f t="shared" si="23"/>
        <v>96.95793325502888</v>
      </c>
      <c r="L316" s="8">
        <f t="shared" si="20"/>
        <v>50783.20000000001</v>
      </c>
      <c r="M316" s="8">
        <f t="shared" si="21"/>
        <v>216.3378119881333</v>
      </c>
    </row>
    <row r="317" spans="1:13" s="5" customFormat="1" ht="31.5">
      <c r="A317" s="100" t="s">
        <v>139</v>
      </c>
      <c r="B317" s="103" t="s">
        <v>140</v>
      </c>
      <c r="C317" s="23" t="s">
        <v>20</v>
      </c>
      <c r="D317" s="47" t="s">
        <v>21</v>
      </c>
      <c r="E317" s="52">
        <v>213.9</v>
      </c>
      <c r="F317" s="8"/>
      <c r="G317" s="8"/>
      <c r="H317" s="52">
        <v>75.2</v>
      </c>
      <c r="I317" s="52">
        <f t="shared" si="19"/>
        <v>75.2</v>
      </c>
      <c r="J317" s="52"/>
      <c r="K317" s="52"/>
      <c r="L317" s="52">
        <f t="shared" si="20"/>
        <v>-138.7</v>
      </c>
      <c r="M317" s="52">
        <f t="shared" si="21"/>
        <v>35.15661524076671</v>
      </c>
    </row>
    <row r="318" spans="1:13" s="5" customFormat="1" ht="83.25" customHeight="1">
      <c r="A318" s="104"/>
      <c r="B318" s="106"/>
      <c r="C318" s="22" t="s">
        <v>22</v>
      </c>
      <c r="D318" s="48" t="s">
        <v>23</v>
      </c>
      <c r="E318" s="52">
        <v>72.4</v>
      </c>
      <c r="F318" s="8"/>
      <c r="G318" s="8"/>
      <c r="H318" s="52">
        <v>120.3</v>
      </c>
      <c r="I318" s="52">
        <f t="shared" si="19"/>
        <v>120.3</v>
      </c>
      <c r="J318" s="52"/>
      <c r="K318" s="52"/>
      <c r="L318" s="52">
        <f t="shared" si="20"/>
        <v>47.89999999999999</v>
      </c>
      <c r="M318" s="52">
        <f t="shared" si="21"/>
        <v>166.1602209944751</v>
      </c>
    </row>
    <row r="319" spans="1:13" ht="15.75">
      <c r="A319" s="104"/>
      <c r="B319" s="106"/>
      <c r="C319" s="23" t="s">
        <v>28</v>
      </c>
      <c r="D319" s="34" t="s">
        <v>29</v>
      </c>
      <c r="E319" s="33">
        <f>E320</f>
        <v>0</v>
      </c>
      <c r="F319" s="33">
        <f>F320</f>
        <v>0</v>
      </c>
      <c r="G319" s="33">
        <f>G320</f>
        <v>0</v>
      </c>
      <c r="H319" s="33">
        <f>H320</f>
        <v>50</v>
      </c>
      <c r="I319" s="33">
        <f t="shared" si="19"/>
        <v>50</v>
      </c>
      <c r="J319" s="33"/>
      <c r="K319" s="33"/>
      <c r="L319" s="33">
        <f t="shared" si="20"/>
        <v>50</v>
      </c>
      <c r="M319" s="33"/>
    </row>
    <row r="320" spans="1:13" ht="47.25" hidden="1">
      <c r="A320" s="104"/>
      <c r="B320" s="106"/>
      <c r="C320" s="22" t="s">
        <v>32</v>
      </c>
      <c r="D320" s="36" t="s">
        <v>33</v>
      </c>
      <c r="E320" s="33"/>
      <c r="F320" s="33"/>
      <c r="G320" s="33"/>
      <c r="H320" s="33">
        <v>50</v>
      </c>
      <c r="I320" s="33">
        <f t="shared" si="19"/>
        <v>50</v>
      </c>
      <c r="J320" s="33" t="e">
        <f t="shared" si="22"/>
        <v>#DIV/0!</v>
      </c>
      <c r="K320" s="33" t="e">
        <f t="shared" si="23"/>
        <v>#DIV/0!</v>
      </c>
      <c r="L320" s="33">
        <f t="shared" si="20"/>
        <v>50</v>
      </c>
      <c r="M320" s="33" t="e">
        <f t="shared" si="21"/>
        <v>#DIV/0!</v>
      </c>
    </row>
    <row r="321" spans="1:13" ht="15.75">
      <c r="A321" s="104"/>
      <c r="B321" s="106"/>
      <c r="C321" s="23" t="s">
        <v>34</v>
      </c>
      <c r="D321" s="34" t="s">
        <v>35</v>
      </c>
      <c r="E321" s="33">
        <v>29.7</v>
      </c>
      <c r="F321" s="33"/>
      <c r="G321" s="33"/>
      <c r="H321" s="33"/>
      <c r="I321" s="33">
        <f t="shared" si="19"/>
        <v>0</v>
      </c>
      <c r="J321" s="33"/>
      <c r="K321" s="33"/>
      <c r="L321" s="33">
        <f t="shared" si="20"/>
        <v>-29.7</v>
      </c>
      <c r="M321" s="33">
        <f t="shared" si="21"/>
        <v>0</v>
      </c>
    </row>
    <row r="322" spans="1:13" ht="15.75" hidden="1">
      <c r="A322" s="104"/>
      <c r="B322" s="106"/>
      <c r="C322" s="23" t="s">
        <v>36</v>
      </c>
      <c r="D322" s="34" t="s">
        <v>37</v>
      </c>
      <c r="E322" s="33"/>
      <c r="F322" s="33"/>
      <c r="G322" s="33"/>
      <c r="H322" s="33"/>
      <c r="I322" s="33">
        <f t="shared" si="19"/>
        <v>0</v>
      </c>
      <c r="J322" s="33" t="e">
        <f t="shared" si="22"/>
        <v>#DIV/0!</v>
      </c>
      <c r="K322" s="33" t="e">
        <f t="shared" si="23"/>
        <v>#DIV/0!</v>
      </c>
      <c r="L322" s="33">
        <f t="shared" si="20"/>
        <v>0</v>
      </c>
      <c r="M322" s="33" t="e">
        <f t="shared" si="21"/>
        <v>#DIV/0!</v>
      </c>
    </row>
    <row r="323" spans="1:13" ht="15.75">
      <c r="A323" s="104"/>
      <c r="B323" s="106"/>
      <c r="C323" s="23" t="s">
        <v>41</v>
      </c>
      <c r="D323" s="34" t="s">
        <v>91</v>
      </c>
      <c r="E323" s="33">
        <v>487.1</v>
      </c>
      <c r="F323" s="33">
        <v>1488.2</v>
      </c>
      <c r="G323" s="33">
        <v>1488.2</v>
      </c>
      <c r="H323" s="33">
        <v>1396.5</v>
      </c>
      <c r="I323" s="33">
        <f t="shared" si="19"/>
        <v>-91.70000000000005</v>
      </c>
      <c r="J323" s="33">
        <f t="shared" si="22"/>
        <v>93.8381937911571</v>
      </c>
      <c r="K323" s="33">
        <f t="shared" si="23"/>
        <v>93.8381937911571</v>
      </c>
      <c r="L323" s="33">
        <f t="shared" si="20"/>
        <v>909.4</v>
      </c>
      <c r="M323" s="33">
        <f t="shared" si="21"/>
        <v>286.6967768425375</v>
      </c>
    </row>
    <row r="324" spans="1:13" ht="15.75">
      <c r="A324" s="104"/>
      <c r="B324" s="106"/>
      <c r="C324" s="23" t="s">
        <v>59</v>
      </c>
      <c r="D324" s="36" t="s">
        <v>60</v>
      </c>
      <c r="E324" s="33">
        <v>110812.4</v>
      </c>
      <c r="F324" s="33">
        <f>137524.3+47927.6</f>
        <v>185451.9</v>
      </c>
      <c r="G324" s="33">
        <f>80222.5+27957.8</f>
        <v>108180.3</v>
      </c>
      <c r="H324" s="33">
        <f>68161.8+11981.9</f>
        <v>80143.7</v>
      </c>
      <c r="I324" s="33">
        <f t="shared" si="19"/>
        <v>-28036.600000000006</v>
      </c>
      <c r="J324" s="33">
        <f t="shared" si="22"/>
        <v>74.08345142322585</v>
      </c>
      <c r="K324" s="33">
        <f t="shared" si="23"/>
        <v>43.21535665043065</v>
      </c>
      <c r="L324" s="33">
        <f t="shared" si="20"/>
        <v>-30668.699999999997</v>
      </c>
      <c r="M324" s="33">
        <f t="shared" si="21"/>
        <v>72.32376521039163</v>
      </c>
    </row>
    <row r="325" spans="1:13" ht="15.75">
      <c r="A325" s="104"/>
      <c r="B325" s="106"/>
      <c r="C325" s="23" t="s">
        <v>43</v>
      </c>
      <c r="D325" s="34" t="s">
        <v>38</v>
      </c>
      <c r="E325" s="33">
        <v>-156.5</v>
      </c>
      <c r="F325" s="33"/>
      <c r="G325" s="33"/>
      <c r="H325" s="33">
        <v>-861.7</v>
      </c>
      <c r="I325" s="33">
        <f t="shared" si="19"/>
        <v>-861.7</v>
      </c>
      <c r="J325" s="33"/>
      <c r="K325" s="33"/>
      <c r="L325" s="33">
        <f t="shared" si="20"/>
        <v>-705.2</v>
      </c>
      <c r="M325" s="33">
        <f t="shared" si="21"/>
        <v>550.6070287539936</v>
      </c>
    </row>
    <row r="326" spans="1:13" s="5" customFormat="1" ht="15.75">
      <c r="A326" s="104"/>
      <c r="B326" s="106"/>
      <c r="C326" s="19"/>
      <c r="D326" s="3" t="s">
        <v>44</v>
      </c>
      <c r="E326" s="8">
        <f>SUM(E317:E319,E321:E325)</f>
        <v>111459</v>
      </c>
      <c r="F326" s="8">
        <f>SUM(F317:F319,F321:F325)</f>
        <v>186940.1</v>
      </c>
      <c r="G326" s="8">
        <f>SUM(G317:G319,G321:G325)</f>
        <v>109668.5</v>
      </c>
      <c r="H326" s="8">
        <f>SUM(H317:H319,H321:H325)</f>
        <v>80924</v>
      </c>
      <c r="I326" s="8">
        <f t="shared" si="19"/>
        <v>-28744.5</v>
      </c>
      <c r="J326" s="8">
        <f t="shared" si="22"/>
        <v>73.78964789342427</v>
      </c>
      <c r="K326" s="8">
        <f t="shared" si="23"/>
        <v>43.28873259402343</v>
      </c>
      <c r="L326" s="8">
        <f t="shared" si="20"/>
        <v>-30535</v>
      </c>
      <c r="M326" s="8">
        <f t="shared" si="21"/>
        <v>72.60427601180703</v>
      </c>
    </row>
    <row r="327" spans="1:13" ht="15.75">
      <c r="A327" s="104"/>
      <c r="B327" s="106"/>
      <c r="C327" s="23" t="s">
        <v>141</v>
      </c>
      <c r="D327" s="34" t="s">
        <v>142</v>
      </c>
      <c r="E327" s="33">
        <v>88508.8</v>
      </c>
      <c r="F327" s="33">
        <v>153134.7</v>
      </c>
      <c r="G327" s="33">
        <v>78443.3</v>
      </c>
      <c r="H327" s="33">
        <v>68384.5</v>
      </c>
      <c r="I327" s="33">
        <f t="shared" si="19"/>
        <v>-10058.800000000003</v>
      </c>
      <c r="J327" s="33">
        <f t="shared" si="22"/>
        <v>87.17698006075726</v>
      </c>
      <c r="K327" s="33">
        <f t="shared" si="23"/>
        <v>44.656436457576234</v>
      </c>
      <c r="L327" s="33">
        <f t="shared" si="20"/>
        <v>-20124.300000000003</v>
      </c>
      <c r="M327" s="33">
        <f t="shared" si="21"/>
        <v>77.26293882642177</v>
      </c>
    </row>
    <row r="328" spans="1:13" ht="31.5">
      <c r="A328" s="104"/>
      <c r="B328" s="106"/>
      <c r="C328" s="23" t="s">
        <v>20</v>
      </c>
      <c r="D328" s="47" t="s">
        <v>21</v>
      </c>
      <c r="E328" s="33"/>
      <c r="F328" s="33"/>
      <c r="G328" s="33"/>
      <c r="H328" s="33"/>
      <c r="I328" s="33">
        <f t="shared" si="19"/>
        <v>0</v>
      </c>
      <c r="J328" s="33"/>
      <c r="K328" s="33"/>
      <c r="L328" s="33">
        <f t="shared" si="20"/>
        <v>0</v>
      </c>
      <c r="M328" s="33" t="e">
        <f t="shared" si="21"/>
        <v>#DIV/0!</v>
      </c>
    </row>
    <row r="329" spans="1:13" ht="15.75">
      <c r="A329" s="104"/>
      <c r="B329" s="106"/>
      <c r="C329" s="23" t="s">
        <v>28</v>
      </c>
      <c r="D329" s="34" t="s">
        <v>29</v>
      </c>
      <c r="E329" s="33">
        <f>SUM(E330:E333)</f>
        <v>12378.8</v>
      </c>
      <c r="F329" s="33">
        <f>SUM(F330:F333)</f>
        <v>22110.899999999998</v>
      </c>
      <c r="G329" s="33">
        <f>SUM(G330:G333)</f>
        <v>12235.2</v>
      </c>
      <c r="H329" s="33">
        <f>SUM(H330:H333)</f>
        <v>19253</v>
      </c>
      <c r="I329" s="33">
        <f t="shared" si="19"/>
        <v>7017.799999999999</v>
      </c>
      <c r="J329" s="33">
        <f t="shared" si="22"/>
        <v>157.35746044200337</v>
      </c>
      <c r="K329" s="33">
        <f t="shared" si="23"/>
        <v>87.0747007132229</v>
      </c>
      <c r="L329" s="33">
        <f t="shared" si="20"/>
        <v>6874.200000000001</v>
      </c>
      <c r="M329" s="33">
        <f t="shared" si="21"/>
        <v>155.53203864671858</v>
      </c>
    </row>
    <row r="330" spans="1:13" s="5" customFormat="1" ht="63" hidden="1">
      <c r="A330" s="104"/>
      <c r="B330" s="106"/>
      <c r="C330" s="22" t="s">
        <v>143</v>
      </c>
      <c r="D330" s="36" t="s">
        <v>144</v>
      </c>
      <c r="E330" s="33">
        <v>264.4</v>
      </c>
      <c r="F330" s="33">
        <v>500</v>
      </c>
      <c r="G330" s="33">
        <v>265</v>
      </c>
      <c r="H330" s="33">
        <v>162.9</v>
      </c>
      <c r="I330" s="33">
        <f aca="true" t="shared" si="24" ref="I330:I393">H330-G330</f>
        <v>-102.1</v>
      </c>
      <c r="J330" s="33">
        <f aca="true" t="shared" si="25" ref="J330:J339">H330/G330*100</f>
        <v>61.47169811320755</v>
      </c>
      <c r="K330" s="33">
        <f aca="true" t="shared" si="26" ref="K330:K339">H330/F330*100</f>
        <v>32.580000000000005</v>
      </c>
      <c r="L330" s="33">
        <f aca="true" t="shared" si="27" ref="L330:L393">H330-E330</f>
        <v>-101.49999999999997</v>
      </c>
      <c r="M330" s="33">
        <f aca="true" t="shared" si="28" ref="M330:M393">H330/E330*100</f>
        <v>61.61119515885023</v>
      </c>
    </row>
    <row r="331" spans="1:13" s="5" customFormat="1" ht="63" hidden="1">
      <c r="A331" s="104"/>
      <c r="B331" s="106"/>
      <c r="C331" s="22" t="s">
        <v>145</v>
      </c>
      <c r="D331" s="36" t="s">
        <v>146</v>
      </c>
      <c r="E331" s="33">
        <v>318</v>
      </c>
      <c r="F331" s="33">
        <v>529.4</v>
      </c>
      <c r="G331" s="33">
        <v>299.7</v>
      </c>
      <c r="H331" s="33">
        <v>539.4</v>
      </c>
      <c r="I331" s="33">
        <f t="shared" si="24"/>
        <v>239.7</v>
      </c>
      <c r="J331" s="33">
        <f t="shared" si="25"/>
        <v>179.97997997998</v>
      </c>
      <c r="K331" s="33">
        <f t="shared" si="26"/>
        <v>101.88893086513033</v>
      </c>
      <c r="L331" s="33">
        <f t="shared" si="27"/>
        <v>221.39999999999998</v>
      </c>
      <c r="M331" s="33">
        <f t="shared" si="28"/>
        <v>169.62264150943395</v>
      </c>
    </row>
    <row r="332" spans="1:13" s="5" customFormat="1" ht="63" hidden="1">
      <c r="A332" s="104"/>
      <c r="B332" s="106"/>
      <c r="C332" s="22" t="s">
        <v>147</v>
      </c>
      <c r="D332" s="36" t="s">
        <v>148</v>
      </c>
      <c r="E332" s="33"/>
      <c r="F332" s="33">
        <v>2.2</v>
      </c>
      <c r="G332" s="33"/>
      <c r="H332" s="33">
        <v>3.5</v>
      </c>
      <c r="I332" s="33">
        <f t="shared" si="24"/>
        <v>3.5</v>
      </c>
      <c r="J332" s="33" t="e">
        <f t="shared" si="25"/>
        <v>#DIV/0!</v>
      </c>
      <c r="K332" s="33">
        <f t="shared" si="26"/>
        <v>159.0909090909091</v>
      </c>
      <c r="L332" s="33">
        <f t="shared" si="27"/>
        <v>3.5</v>
      </c>
      <c r="M332" s="33" t="e">
        <f t="shared" si="28"/>
        <v>#DIV/0!</v>
      </c>
    </row>
    <row r="333" spans="1:13" s="5" customFormat="1" ht="47.25" hidden="1">
      <c r="A333" s="104"/>
      <c r="B333" s="106"/>
      <c r="C333" s="22" t="s">
        <v>32</v>
      </c>
      <c r="D333" s="36" t="s">
        <v>33</v>
      </c>
      <c r="E333" s="33">
        <v>11796.4</v>
      </c>
      <c r="F333" s="33">
        <v>21079.3</v>
      </c>
      <c r="G333" s="33">
        <v>11670.5</v>
      </c>
      <c r="H333" s="33">
        <v>18547.2</v>
      </c>
      <c r="I333" s="33">
        <f t="shared" si="24"/>
        <v>6876.700000000001</v>
      </c>
      <c r="J333" s="33">
        <f t="shared" si="25"/>
        <v>158.92378218585324</v>
      </c>
      <c r="K333" s="33">
        <f t="shared" si="26"/>
        <v>87.98774152841888</v>
      </c>
      <c r="L333" s="33">
        <f t="shared" si="27"/>
        <v>6750.800000000001</v>
      </c>
      <c r="M333" s="33">
        <f t="shared" si="28"/>
        <v>157.22762876809875</v>
      </c>
    </row>
    <row r="334" spans="1:13" s="5" customFormat="1" ht="15.75">
      <c r="A334" s="104"/>
      <c r="B334" s="106"/>
      <c r="C334" s="25"/>
      <c r="D334" s="3" t="s">
        <v>47</v>
      </c>
      <c r="E334" s="8">
        <f>SUM(E327:E329)</f>
        <v>100887.6</v>
      </c>
      <c r="F334" s="8">
        <f>SUM(F327:F329)</f>
        <v>175245.6</v>
      </c>
      <c r="G334" s="8">
        <f>SUM(G327:G329)</f>
        <v>90678.5</v>
      </c>
      <c r="H334" s="8">
        <f>SUM(H327:H329)</f>
        <v>87637.5</v>
      </c>
      <c r="I334" s="8">
        <f t="shared" si="24"/>
        <v>-3041</v>
      </c>
      <c r="J334" s="8">
        <f t="shared" si="25"/>
        <v>96.64639357730884</v>
      </c>
      <c r="K334" s="8">
        <f t="shared" si="26"/>
        <v>50.00838822772155</v>
      </c>
      <c r="L334" s="8">
        <f t="shared" si="27"/>
        <v>-13250.100000000006</v>
      </c>
      <c r="M334" s="8">
        <f t="shared" si="28"/>
        <v>86.86647318401864</v>
      </c>
    </row>
    <row r="335" spans="1:13" s="5" customFormat="1" ht="31.5">
      <c r="A335" s="104"/>
      <c r="B335" s="106"/>
      <c r="C335" s="25"/>
      <c r="D335" s="3" t="s">
        <v>48</v>
      </c>
      <c r="E335" s="8">
        <f>E336-E325</f>
        <v>212503.1</v>
      </c>
      <c r="F335" s="8">
        <f>F336-F325</f>
        <v>362185.7</v>
      </c>
      <c r="G335" s="8">
        <f>G336-G325</f>
        <v>200347</v>
      </c>
      <c r="H335" s="8">
        <f>H336-H325</f>
        <v>169423.2</v>
      </c>
      <c r="I335" s="8">
        <f t="shared" si="24"/>
        <v>-30923.79999999999</v>
      </c>
      <c r="J335" s="8">
        <f t="shared" si="25"/>
        <v>84.56487993331571</v>
      </c>
      <c r="K335" s="8">
        <f t="shared" si="26"/>
        <v>46.777992615390396</v>
      </c>
      <c r="L335" s="8">
        <f t="shared" si="27"/>
        <v>-43079.899999999994</v>
      </c>
      <c r="M335" s="8">
        <f t="shared" si="28"/>
        <v>79.72740162378807</v>
      </c>
    </row>
    <row r="336" spans="1:13" s="5" customFormat="1" ht="15.75">
      <c r="A336" s="105"/>
      <c r="B336" s="107"/>
      <c r="C336" s="25"/>
      <c r="D336" s="3" t="s">
        <v>67</v>
      </c>
      <c r="E336" s="8">
        <f>E326+E334</f>
        <v>212346.6</v>
      </c>
      <c r="F336" s="8">
        <f>F326+F334</f>
        <v>362185.7</v>
      </c>
      <c r="G336" s="8">
        <f>G326+G334</f>
        <v>200347</v>
      </c>
      <c r="H336" s="8">
        <f>H326+H334</f>
        <v>168561.5</v>
      </c>
      <c r="I336" s="8">
        <f t="shared" si="24"/>
        <v>-31785.5</v>
      </c>
      <c r="J336" s="8">
        <f t="shared" si="25"/>
        <v>84.13477616335658</v>
      </c>
      <c r="K336" s="8">
        <f t="shared" si="26"/>
        <v>46.540075988643395</v>
      </c>
      <c r="L336" s="8">
        <f t="shared" si="27"/>
        <v>-43785.100000000006</v>
      </c>
      <c r="M336" s="8">
        <f t="shared" si="28"/>
        <v>79.38036210610389</v>
      </c>
    </row>
    <row r="337" spans="1:13" ht="31.5">
      <c r="A337" s="103" t="s">
        <v>149</v>
      </c>
      <c r="B337" s="103" t="s">
        <v>150</v>
      </c>
      <c r="C337" s="23" t="s">
        <v>151</v>
      </c>
      <c r="D337" s="34" t="s">
        <v>152</v>
      </c>
      <c r="E337" s="33">
        <v>339</v>
      </c>
      <c r="F337" s="33">
        <v>843</v>
      </c>
      <c r="G337" s="33">
        <v>468</v>
      </c>
      <c r="H337" s="33">
        <v>162.1</v>
      </c>
      <c r="I337" s="33">
        <f t="shared" si="24"/>
        <v>-305.9</v>
      </c>
      <c r="J337" s="33">
        <f t="shared" si="25"/>
        <v>34.636752136752136</v>
      </c>
      <c r="K337" s="33">
        <f t="shared" si="26"/>
        <v>19.22894424673784</v>
      </c>
      <c r="L337" s="33">
        <f t="shared" si="27"/>
        <v>-176.9</v>
      </c>
      <c r="M337" s="33">
        <f t="shared" si="28"/>
        <v>47.81710914454277</v>
      </c>
    </row>
    <row r="338" spans="1:13" ht="15.75" hidden="1">
      <c r="A338" s="106"/>
      <c r="B338" s="106"/>
      <c r="C338" s="23" t="s">
        <v>14</v>
      </c>
      <c r="D338" s="46" t="s">
        <v>153</v>
      </c>
      <c r="E338" s="33"/>
      <c r="F338" s="33"/>
      <c r="G338" s="33"/>
      <c r="H338" s="33"/>
      <c r="I338" s="33">
        <f t="shared" si="24"/>
        <v>0</v>
      </c>
      <c r="J338" s="33" t="e">
        <f t="shared" si="25"/>
        <v>#DIV/0!</v>
      </c>
      <c r="K338" s="33" t="e">
        <f t="shared" si="26"/>
        <v>#DIV/0!</v>
      </c>
      <c r="L338" s="33">
        <f t="shared" si="27"/>
        <v>0</v>
      </c>
      <c r="M338" s="33" t="e">
        <f t="shared" si="28"/>
        <v>#DIV/0!</v>
      </c>
    </row>
    <row r="339" spans="1:13" ht="47.25">
      <c r="A339" s="106"/>
      <c r="B339" s="106"/>
      <c r="C339" s="22" t="s">
        <v>18</v>
      </c>
      <c r="D339" s="36" t="s">
        <v>154</v>
      </c>
      <c r="E339" s="33">
        <v>27554.3</v>
      </c>
      <c r="F339" s="33">
        <v>78503.6</v>
      </c>
      <c r="G339" s="33">
        <v>45794</v>
      </c>
      <c r="H339" s="33">
        <v>45494.9</v>
      </c>
      <c r="I339" s="33">
        <f t="shared" si="24"/>
        <v>-299.09999999999854</v>
      </c>
      <c r="J339" s="33">
        <f t="shared" si="25"/>
        <v>99.34685766694327</v>
      </c>
      <c r="K339" s="33">
        <f t="shared" si="26"/>
        <v>57.95262892402386</v>
      </c>
      <c r="L339" s="33">
        <f t="shared" si="27"/>
        <v>17940.600000000002</v>
      </c>
      <c r="M339" s="33">
        <f t="shared" si="28"/>
        <v>165.10998283389526</v>
      </c>
    </row>
    <row r="340" spans="1:13" ht="31.5">
      <c r="A340" s="106"/>
      <c r="B340" s="106"/>
      <c r="C340" s="23" t="s">
        <v>20</v>
      </c>
      <c r="D340" s="47" t="s">
        <v>21</v>
      </c>
      <c r="E340" s="33">
        <v>12.9</v>
      </c>
      <c r="F340" s="33"/>
      <c r="G340" s="33"/>
      <c r="H340" s="33">
        <v>5314</v>
      </c>
      <c r="I340" s="33">
        <f t="shared" si="24"/>
        <v>5314</v>
      </c>
      <c r="J340" s="33"/>
      <c r="K340" s="33"/>
      <c r="L340" s="33">
        <f t="shared" si="27"/>
        <v>5301.1</v>
      </c>
      <c r="M340" s="33">
        <f t="shared" si="28"/>
        <v>41193.798449612405</v>
      </c>
    </row>
    <row r="341" spans="1:13" ht="15.75">
      <c r="A341" s="106"/>
      <c r="B341" s="106"/>
      <c r="C341" s="23" t="s">
        <v>28</v>
      </c>
      <c r="D341" s="34" t="s">
        <v>29</v>
      </c>
      <c r="E341" s="33">
        <f>E342</f>
        <v>24.4</v>
      </c>
      <c r="F341" s="33">
        <f>F342</f>
        <v>0</v>
      </c>
      <c r="G341" s="33">
        <f>G342</f>
        <v>0</v>
      </c>
      <c r="H341" s="33">
        <f>H342</f>
        <v>5</v>
      </c>
      <c r="I341" s="33">
        <f t="shared" si="24"/>
        <v>5</v>
      </c>
      <c r="J341" s="33"/>
      <c r="K341" s="33"/>
      <c r="L341" s="33">
        <f t="shared" si="27"/>
        <v>-19.4</v>
      </c>
      <c r="M341" s="33">
        <f t="shared" si="28"/>
        <v>20.491803278688526</v>
      </c>
    </row>
    <row r="342" spans="1:13" ht="47.25" hidden="1">
      <c r="A342" s="106"/>
      <c r="B342" s="106"/>
      <c r="C342" s="22" t="s">
        <v>32</v>
      </c>
      <c r="D342" s="36" t="s">
        <v>33</v>
      </c>
      <c r="E342" s="33">
        <v>24.4</v>
      </c>
      <c r="F342" s="33"/>
      <c r="G342" s="33"/>
      <c r="H342" s="33">
        <v>5</v>
      </c>
      <c r="I342" s="33">
        <f t="shared" si="24"/>
        <v>5</v>
      </c>
      <c r="J342" s="33"/>
      <c r="K342" s="33"/>
      <c r="L342" s="33">
        <f t="shared" si="27"/>
        <v>-19.4</v>
      </c>
      <c r="M342" s="33">
        <f t="shared" si="28"/>
        <v>20.491803278688526</v>
      </c>
    </row>
    <row r="343" spans="1:13" ht="15.75">
      <c r="A343" s="106"/>
      <c r="B343" s="106"/>
      <c r="C343" s="23" t="s">
        <v>34</v>
      </c>
      <c r="D343" s="34" t="s">
        <v>35</v>
      </c>
      <c r="E343" s="33">
        <v>40</v>
      </c>
      <c r="F343" s="33"/>
      <c r="G343" s="33"/>
      <c r="H343" s="33">
        <v>-6</v>
      </c>
      <c r="I343" s="33">
        <f t="shared" si="24"/>
        <v>-6</v>
      </c>
      <c r="J343" s="33"/>
      <c r="K343" s="33"/>
      <c r="L343" s="33">
        <f t="shared" si="27"/>
        <v>-46</v>
      </c>
      <c r="M343" s="33">
        <f t="shared" si="28"/>
        <v>-15</v>
      </c>
    </row>
    <row r="344" spans="1:13" ht="15.75" hidden="1">
      <c r="A344" s="106"/>
      <c r="B344" s="106"/>
      <c r="C344" s="23" t="s">
        <v>36</v>
      </c>
      <c r="D344" s="34" t="s">
        <v>37</v>
      </c>
      <c r="E344" s="33"/>
      <c r="F344" s="33"/>
      <c r="G344" s="33"/>
      <c r="H344" s="33"/>
      <c r="I344" s="33">
        <f t="shared" si="24"/>
        <v>0</v>
      </c>
      <c r="J344" s="33" t="e">
        <f>H344/G344*100</f>
        <v>#DIV/0!</v>
      </c>
      <c r="K344" s="33" t="e">
        <f>H344/F344*100</f>
        <v>#DIV/0!</v>
      </c>
      <c r="L344" s="33">
        <f t="shared" si="27"/>
        <v>0</v>
      </c>
      <c r="M344" s="33" t="e">
        <f t="shared" si="28"/>
        <v>#DIV/0!</v>
      </c>
    </row>
    <row r="345" spans="1:13" ht="15.75">
      <c r="A345" s="106"/>
      <c r="B345" s="106"/>
      <c r="C345" s="23" t="s">
        <v>41</v>
      </c>
      <c r="D345" s="34" t="s">
        <v>42</v>
      </c>
      <c r="E345" s="33">
        <v>22.3</v>
      </c>
      <c r="F345" s="33"/>
      <c r="G345" s="33"/>
      <c r="H345" s="33"/>
      <c r="I345" s="33">
        <f t="shared" si="24"/>
        <v>0</v>
      </c>
      <c r="J345" s="33"/>
      <c r="K345" s="33"/>
      <c r="L345" s="33">
        <f t="shared" si="27"/>
        <v>-22.3</v>
      </c>
      <c r="M345" s="33">
        <f t="shared" si="28"/>
        <v>0</v>
      </c>
    </row>
    <row r="346" spans="1:13" ht="15.75" hidden="1">
      <c r="A346" s="106"/>
      <c r="B346" s="106"/>
      <c r="C346" s="23" t="s">
        <v>43</v>
      </c>
      <c r="D346" s="34" t="s">
        <v>38</v>
      </c>
      <c r="E346" s="33"/>
      <c r="F346" s="33"/>
      <c r="G346" s="33"/>
      <c r="H346" s="33"/>
      <c r="I346" s="33">
        <f t="shared" si="24"/>
        <v>0</v>
      </c>
      <c r="J346" s="33" t="e">
        <f aca="true" t="shared" si="29" ref="J346:J354">H346/G346*100</f>
        <v>#DIV/0!</v>
      </c>
      <c r="K346" s="33" t="e">
        <f aca="true" t="shared" si="30" ref="K346:K354">H346/F346*100</f>
        <v>#DIV/0!</v>
      </c>
      <c r="L346" s="33">
        <f t="shared" si="27"/>
        <v>0</v>
      </c>
      <c r="M346" s="33" t="e">
        <f t="shared" si="28"/>
        <v>#DIV/0!</v>
      </c>
    </row>
    <row r="347" spans="1:13" s="5" customFormat="1" ht="15.75">
      <c r="A347" s="106"/>
      <c r="B347" s="106"/>
      <c r="C347" s="24"/>
      <c r="D347" s="3" t="s">
        <v>44</v>
      </c>
      <c r="E347" s="8">
        <f>SUM(E337:E341,E343:E346)</f>
        <v>27992.9</v>
      </c>
      <c r="F347" s="8">
        <f>SUM(F337:F341,F343:F346)</f>
        <v>79346.6</v>
      </c>
      <c r="G347" s="8">
        <f>SUM(G337:G341,G343:G346)</f>
        <v>46262</v>
      </c>
      <c r="H347" s="8">
        <f>SUM(H337:H341,H343:H346)</f>
        <v>50970</v>
      </c>
      <c r="I347" s="8">
        <f t="shared" si="24"/>
        <v>4708</v>
      </c>
      <c r="J347" s="8">
        <f t="shared" si="29"/>
        <v>110.17681898750595</v>
      </c>
      <c r="K347" s="8">
        <f t="shared" si="30"/>
        <v>64.23715697963114</v>
      </c>
      <c r="L347" s="8">
        <f t="shared" si="27"/>
        <v>22977.1</v>
      </c>
      <c r="M347" s="8">
        <f t="shared" si="28"/>
        <v>182.08188504942325</v>
      </c>
    </row>
    <row r="348" spans="1:13" ht="15.75">
      <c r="A348" s="106"/>
      <c r="B348" s="106"/>
      <c r="C348" s="23" t="s">
        <v>211</v>
      </c>
      <c r="D348" s="34" t="s">
        <v>155</v>
      </c>
      <c r="E348" s="33">
        <v>540.9</v>
      </c>
      <c r="F348" s="33">
        <v>652.7</v>
      </c>
      <c r="G348" s="33">
        <f>508.2+90.6</f>
        <v>598.8</v>
      </c>
      <c r="H348" s="33">
        <f>473+299</f>
        <v>772</v>
      </c>
      <c r="I348" s="33">
        <f t="shared" si="24"/>
        <v>173.20000000000005</v>
      </c>
      <c r="J348" s="33">
        <f t="shared" si="29"/>
        <v>128.9245156980628</v>
      </c>
      <c r="K348" s="33">
        <f t="shared" si="30"/>
        <v>118.27792247586946</v>
      </c>
      <c r="L348" s="33">
        <f t="shared" si="27"/>
        <v>231.10000000000002</v>
      </c>
      <c r="M348" s="33">
        <f t="shared" si="28"/>
        <v>142.72508781660196</v>
      </c>
    </row>
    <row r="349" spans="1:13" ht="15.75">
      <c r="A349" s="106"/>
      <c r="B349" s="106"/>
      <c r="C349" s="23" t="s">
        <v>28</v>
      </c>
      <c r="D349" s="34" t="s">
        <v>29</v>
      </c>
      <c r="E349" s="33">
        <f>SUM(E350:E351)</f>
        <v>9054.9</v>
      </c>
      <c r="F349" s="33">
        <f>SUM(F350:F351)</f>
        <v>9874</v>
      </c>
      <c r="G349" s="33">
        <f>SUM(G350:G351)</f>
        <v>6091.2</v>
      </c>
      <c r="H349" s="33">
        <f>SUM(H350:H351)</f>
        <v>7992.900000000001</v>
      </c>
      <c r="I349" s="33">
        <f t="shared" si="24"/>
        <v>1901.7000000000007</v>
      </c>
      <c r="J349" s="33">
        <f t="shared" si="29"/>
        <v>131.22044917257685</v>
      </c>
      <c r="K349" s="33">
        <f t="shared" si="30"/>
        <v>80.94895685639052</v>
      </c>
      <c r="L349" s="33">
        <f t="shared" si="27"/>
        <v>-1061.999999999999</v>
      </c>
      <c r="M349" s="33">
        <f t="shared" si="28"/>
        <v>88.27154358413678</v>
      </c>
    </row>
    <row r="350" spans="1:13" s="5" customFormat="1" ht="63" hidden="1">
      <c r="A350" s="106"/>
      <c r="B350" s="106"/>
      <c r="C350" s="22" t="s">
        <v>156</v>
      </c>
      <c r="D350" s="36" t="s">
        <v>157</v>
      </c>
      <c r="E350" s="33">
        <v>8079.1</v>
      </c>
      <c r="F350" s="33">
        <v>9124</v>
      </c>
      <c r="G350" s="33">
        <v>5653.7</v>
      </c>
      <c r="H350" s="33">
        <v>6681.1</v>
      </c>
      <c r="I350" s="33">
        <f t="shared" si="24"/>
        <v>1027.4000000000005</v>
      </c>
      <c r="J350" s="33">
        <f t="shared" si="29"/>
        <v>118.17217043705892</v>
      </c>
      <c r="K350" s="33">
        <f t="shared" si="30"/>
        <v>73.22555896536606</v>
      </c>
      <c r="L350" s="33">
        <f t="shared" si="27"/>
        <v>-1398</v>
      </c>
      <c r="M350" s="33">
        <f t="shared" si="28"/>
        <v>82.6960923865282</v>
      </c>
    </row>
    <row r="351" spans="1:13" s="5" customFormat="1" ht="47.25" hidden="1">
      <c r="A351" s="106"/>
      <c r="B351" s="106"/>
      <c r="C351" s="22" t="s">
        <v>32</v>
      </c>
      <c r="D351" s="36" t="s">
        <v>33</v>
      </c>
      <c r="E351" s="33">
        <v>975.8</v>
      </c>
      <c r="F351" s="33">
        <v>750</v>
      </c>
      <c r="G351" s="33">
        <v>437.5</v>
      </c>
      <c r="H351" s="33">
        <v>1311.8</v>
      </c>
      <c r="I351" s="33">
        <f t="shared" si="24"/>
        <v>874.3</v>
      </c>
      <c r="J351" s="33">
        <f t="shared" si="29"/>
        <v>299.84</v>
      </c>
      <c r="K351" s="33">
        <f t="shared" si="30"/>
        <v>174.90666666666667</v>
      </c>
      <c r="L351" s="33">
        <f t="shared" si="27"/>
        <v>336</v>
      </c>
      <c r="M351" s="33">
        <f t="shared" si="28"/>
        <v>134.43328550932569</v>
      </c>
    </row>
    <row r="352" spans="1:13" s="5" customFormat="1" ht="15.75">
      <c r="A352" s="106"/>
      <c r="B352" s="106"/>
      <c r="C352" s="25"/>
      <c r="D352" s="3" t="s">
        <v>47</v>
      </c>
      <c r="E352" s="8">
        <f>SUM(E348:E349)</f>
        <v>9595.8</v>
      </c>
      <c r="F352" s="8">
        <f>SUM(F348:F349)</f>
        <v>10526.7</v>
      </c>
      <c r="G352" s="8">
        <f>SUM(G348:G349)</f>
        <v>6690</v>
      </c>
      <c r="H352" s="8">
        <f>SUM(H348:H349)</f>
        <v>8764.900000000001</v>
      </c>
      <c r="I352" s="8">
        <f t="shared" si="24"/>
        <v>2074.9000000000015</v>
      </c>
      <c r="J352" s="8">
        <f t="shared" si="29"/>
        <v>131.01494768310914</v>
      </c>
      <c r="K352" s="8">
        <f t="shared" si="30"/>
        <v>83.26351088185282</v>
      </c>
      <c r="L352" s="8">
        <f t="shared" si="27"/>
        <v>-830.8999999999978</v>
      </c>
      <c r="M352" s="8">
        <f t="shared" si="28"/>
        <v>91.34100335563477</v>
      </c>
    </row>
    <row r="353" spans="1:13" s="5" customFormat="1" ht="31.5" hidden="1">
      <c r="A353" s="106"/>
      <c r="B353" s="106"/>
      <c r="C353" s="25"/>
      <c r="D353" s="3" t="s">
        <v>48</v>
      </c>
      <c r="E353" s="8">
        <f>E354-E346</f>
        <v>37588.7</v>
      </c>
      <c r="F353" s="8">
        <f>F354-F346</f>
        <v>89873.3</v>
      </c>
      <c r="G353" s="8">
        <f>G354-G346</f>
        <v>52952</v>
      </c>
      <c r="H353" s="8">
        <f>H354-H346</f>
        <v>59734.9</v>
      </c>
      <c r="I353" s="8">
        <f t="shared" si="24"/>
        <v>6782.9000000000015</v>
      </c>
      <c r="J353" s="8">
        <f t="shared" si="29"/>
        <v>112.8095256080979</v>
      </c>
      <c r="K353" s="8">
        <f t="shared" si="30"/>
        <v>66.46568001842594</v>
      </c>
      <c r="L353" s="8">
        <f t="shared" si="27"/>
        <v>22146.200000000004</v>
      </c>
      <c r="M353" s="8">
        <f t="shared" si="28"/>
        <v>158.91717457640198</v>
      </c>
    </row>
    <row r="354" spans="1:13" s="5" customFormat="1" ht="15.75">
      <c r="A354" s="107"/>
      <c r="B354" s="107"/>
      <c r="C354" s="24"/>
      <c r="D354" s="3" t="s">
        <v>67</v>
      </c>
      <c r="E354" s="8">
        <f>E347+E352</f>
        <v>37588.7</v>
      </c>
      <c r="F354" s="8">
        <f>F347+F352</f>
        <v>89873.3</v>
      </c>
      <c r="G354" s="8">
        <f>G347+G352</f>
        <v>52952</v>
      </c>
      <c r="H354" s="8">
        <f>H347+H352</f>
        <v>59734.9</v>
      </c>
      <c r="I354" s="8">
        <f t="shared" si="24"/>
        <v>6782.9000000000015</v>
      </c>
      <c r="J354" s="8">
        <f t="shared" si="29"/>
        <v>112.8095256080979</v>
      </c>
      <c r="K354" s="8">
        <f t="shared" si="30"/>
        <v>66.46568001842594</v>
      </c>
      <c r="L354" s="8">
        <f t="shared" si="27"/>
        <v>22146.200000000004</v>
      </c>
      <c r="M354" s="8">
        <f t="shared" si="28"/>
        <v>158.91717457640198</v>
      </c>
    </row>
    <row r="355" spans="1:13" ht="31.5">
      <c r="A355" s="110" t="s">
        <v>158</v>
      </c>
      <c r="B355" s="111" t="s">
        <v>159</v>
      </c>
      <c r="C355" s="23" t="s">
        <v>20</v>
      </c>
      <c r="D355" s="47" t="s">
        <v>21</v>
      </c>
      <c r="E355" s="33">
        <v>15183.1</v>
      </c>
      <c r="F355" s="33"/>
      <c r="G355" s="33"/>
      <c r="H355" s="33">
        <v>75034.9</v>
      </c>
      <c r="I355" s="33">
        <f t="shared" si="24"/>
        <v>75034.9</v>
      </c>
      <c r="J355" s="33"/>
      <c r="K355" s="33"/>
      <c r="L355" s="33">
        <f t="shared" si="27"/>
        <v>59851.799999999996</v>
      </c>
      <c r="M355" s="33">
        <f t="shared" si="28"/>
        <v>494.20013040815115</v>
      </c>
    </row>
    <row r="356" spans="1:13" ht="94.5" hidden="1">
      <c r="A356" s="110"/>
      <c r="B356" s="111"/>
      <c r="C356" s="22" t="s">
        <v>22</v>
      </c>
      <c r="D356" s="48" t="s">
        <v>23</v>
      </c>
      <c r="E356" s="33"/>
      <c r="F356" s="33"/>
      <c r="G356" s="33"/>
      <c r="H356" s="33"/>
      <c r="I356" s="33">
        <f t="shared" si="24"/>
        <v>0</v>
      </c>
      <c r="J356" s="33"/>
      <c r="K356" s="33"/>
      <c r="L356" s="33">
        <f t="shared" si="27"/>
        <v>0</v>
      </c>
      <c r="M356" s="33" t="e">
        <f t="shared" si="28"/>
        <v>#DIV/0!</v>
      </c>
    </row>
    <row r="357" spans="1:13" ht="15.75" hidden="1">
      <c r="A357" s="110"/>
      <c r="B357" s="111"/>
      <c r="C357" s="23" t="s">
        <v>28</v>
      </c>
      <c r="D357" s="34" t="s">
        <v>29</v>
      </c>
      <c r="E357" s="33">
        <f>E358</f>
        <v>0</v>
      </c>
      <c r="F357" s="33">
        <f>F358</f>
        <v>0</v>
      </c>
      <c r="G357" s="33">
        <f>G358</f>
        <v>0</v>
      </c>
      <c r="H357" s="33">
        <f>H358</f>
        <v>0</v>
      </c>
      <c r="I357" s="33">
        <f t="shared" si="24"/>
        <v>0</v>
      </c>
      <c r="J357" s="33"/>
      <c r="K357" s="33"/>
      <c r="L357" s="33">
        <f t="shared" si="27"/>
        <v>0</v>
      </c>
      <c r="M357" s="33" t="e">
        <f t="shared" si="28"/>
        <v>#DIV/0!</v>
      </c>
    </row>
    <row r="358" spans="1:13" ht="47.25" hidden="1">
      <c r="A358" s="110"/>
      <c r="B358" s="111"/>
      <c r="C358" s="22" t="s">
        <v>32</v>
      </c>
      <c r="D358" s="36" t="s">
        <v>33</v>
      </c>
      <c r="E358" s="33"/>
      <c r="F358" s="33"/>
      <c r="G358" s="33"/>
      <c r="H358" s="33"/>
      <c r="I358" s="33">
        <f t="shared" si="24"/>
        <v>0</v>
      </c>
      <c r="J358" s="33"/>
      <c r="K358" s="33"/>
      <c r="L358" s="33">
        <f t="shared" si="27"/>
        <v>0</v>
      </c>
      <c r="M358" s="33" t="e">
        <f t="shared" si="28"/>
        <v>#DIV/0!</v>
      </c>
    </row>
    <row r="359" spans="1:13" ht="15.75">
      <c r="A359" s="110"/>
      <c r="B359" s="111"/>
      <c r="C359" s="23" t="s">
        <v>34</v>
      </c>
      <c r="D359" s="34" t="s">
        <v>35</v>
      </c>
      <c r="E359" s="33">
        <v>201.1</v>
      </c>
      <c r="F359" s="33"/>
      <c r="G359" s="33"/>
      <c r="H359" s="33">
        <v>104.5</v>
      </c>
      <c r="I359" s="33">
        <f t="shared" si="24"/>
        <v>104.5</v>
      </c>
      <c r="J359" s="33"/>
      <c r="K359" s="33"/>
      <c r="L359" s="33">
        <f t="shared" si="27"/>
        <v>-96.6</v>
      </c>
      <c r="M359" s="33">
        <f t="shared" si="28"/>
        <v>51.96419691695674</v>
      </c>
    </row>
    <row r="360" spans="1:13" ht="15.75">
      <c r="A360" s="110"/>
      <c r="B360" s="111"/>
      <c r="C360" s="23" t="s">
        <v>41</v>
      </c>
      <c r="D360" s="34" t="s">
        <v>42</v>
      </c>
      <c r="E360" s="33">
        <v>6679.9</v>
      </c>
      <c r="F360" s="33">
        <v>19664.8</v>
      </c>
      <c r="G360" s="33">
        <v>936.5</v>
      </c>
      <c r="H360" s="33">
        <f>907+322.5</f>
        <v>1229.5</v>
      </c>
      <c r="I360" s="33">
        <f t="shared" si="24"/>
        <v>293</v>
      </c>
      <c r="J360" s="33">
        <f>H360/G360*100</f>
        <v>131.28670581954086</v>
      </c>
      <c r="K360" s="33">
        <f>H360/F360*100</f>
        <v>6.2522883527928075</v>
      </c>
      <c r="L360" s="33">
        <f t="shared" si="27"/>
        <v>-5450.4</v>
      </c>
      <c r="M360" s="33">
        <f t="shared" si="28"/>
        <v>18.405964161140137</v>
      </c>
    </row>
    <row r="361" spans="1:13" ht="15.75">
      <c r="A361" s="110"/>
      <c r="B361" s="111"/>
      <c r="C361" s="23" t="s">
        <v>59</v>
      </c>
      <c r="D361" s="36" t="s">
        <v>60</v>
      </c>
      <c r="E361" s="33">
        <v>548.7</v>
      </c>
      <c r="F361" s="33"/>
      <c r="G361" s="33"/>
      <c r="H361" s="33"/>
      <c r="I361" s="33">
        <f t="shared" si="24"/>
        <v>0</v>
      </c>
      <c r="J361" s="33" t="e">
        <f>H361/G361*100</f>
        <v>#DIV/0!</v>
      </c>
      <c r="K361" s="33" t="e">
        <f>H361/F361*100</f>
        <v>#DIV/0!</v>
      </c>
      <c r="L361" s="33">
        <f t="shared" si="27"/>
        <v>-548.7</v>
      </c>
      <c r="M361" s="33">
        <f t="shared" si="28"/>
        <v>0</v>
      </c>
    </row>
    <row r="362" spans="1:13" ht="15.75">
      <c r="A362" s="110"/>
      <c r="B362" s="111"/>
      <c r="C362" s="23" t="s">
        <v>43</v>
      </c>
      <c r="D362" s="34" t="s">
        <v>38</v>
      </c>
      <c r="E362" s="33">
        <v>-384.7</v>
      </c>
      <c r="F362" s="33"/>
      <c r="G362" s="33"/>
      <c r="H362" s="33">
        <v>-0.3</v>
      </c>
      <c r="I362" s="33">
        <f t="shared" si="24"/>
        <v>-0.3</v>
      </c>
      <c r="J362" s="33"/>
      <c r="K362" s="33"/>
      <c r="L362" s="33">
        <f t="shared" si="27"/>
        <v>384.4</v>
      </c>
      <c r="M362" s="33">
        <f t="shared" si="28"/>
        <v>0.07798284377436965</v>
      </c>
    </row>
    <row r="363" spans="1:13" s="5" customFormat="1" ht="31.5">
      <c r="A363" s="110"/>
      <c r="B363" s="111"/>
      <c r="C363" s="25"/>
      <c r="D363" s="3" t="s">
        <v>48</v>
      </c>
      <c r="E363" s="4">
        <f>E364-E362</f>
        <v>22612.8</v>
      </c>
      <c r="F363" s="4">
        <f>F364-F362</f>
        <v>19664.8</v>
      </c>
      <c r="G363" s="4">
        <f>G364-G362</f>
        <v>936.5</v>
      </c>
      <c r="H363" s="4">
        <f>H364-H362</f>
        <v>76368.9</v>
      </c>
      <c r="I363" s="4">
        <f t="shared" si="24"/>
        <v>75432.4</v>
      </c>
      <c r="J363" s="4">
        <f>H363/G363*100</f>
        <v>8154.714361986117</v>
      </c>
      <c r="K363" s="4">
        <f>H363/F363*100</f>
        <v>388.3533013302957</v>
      </c>
      <c r="L363" s="4">
        <f t="shared" si="27"/>
        <v>53756.09999999999</v>
      </c>
      <c r="M363" s="4">
        <f t="shared" si="28"/>
        <v>337.72420929738905</v>
      </c>
    </row>
    <row r="364" spans="1:13" s="5" customFormat="1" ht="15.75">
      <c r="A364" s="110"/>
      <c r="B364" s="111"/>
      <c r="C364" s="19"/>
      <c r="D364" s="3" t="s">
        <v>67</v>
      </c>
      <c r="E364" s="8">
        <f>SUM(E355:E357,E359:E362)</f>
        <v>22228.1</v>
      </c>
      <c r="F364" s="8">
        <f>SUM(F355:F357,F359:F362)</f>
        <v>19664.8</v>
      </c>
      <c r="G364" s="8">
        <f>SUM(G355:G357,G359:G362)</f>
        <v>936.5</v>
      </c>
      <c r="H364" s="8">
        <f>SUM(H355:H357,H359:H362)</f>
        <v>76368.59999999999</v>
      </c>
      <c r="I364" s="8">
        <f t="shared" si="24"/>
        <v>75432.09999999999</v>
      </c>
      <c r="J364" s="8">
        <f>H364/G364*100</f>
        <v>8154.682327816336</v>
      </c>
      <c r="K364" s="8">
        <f>H364/F364*100</f>
        <v>388.3517757617672</v>
      </c>
      <c r="L364" s="8">
        <f t="shared" si="27"/>
        <v>54140.49999999999</v>
      </c>
      <c r="M364" s="8">
        <f t="shared" si="28"/>
        <v>343.567826309941</v>
      </c>
    </row>
    <row r="365" spans="1:13" s="5" customFormat="1" ht="15.75">
      <c r="A365" s="100" t="s">
        <v>160</v>
      </c>
      <c r="B365" s="103" t="s">
        <v>161</v>
      </c>
      <c r="C365" s="23" t="s">
        <v>14</v>
      </c>
      <c r="D365" s="46" t="s">
        <v>153</v>
      </c>
      <c r="E365" s="52"/>
      <c r="F365" s="8"/>
      <c r="G365" s="8"/>
      <c r="H365" s="52">
        <v>206.4</v>
      </c>
      <c r="I365" s="52">
        <f t="shared" si="24"/>
        <v>206.4</v>
      </c>
      <c r="J365" s="52"/>
      <c r="K365" s="52"/>
      <c r="L365" s="52">
        <f t="shared" si="27"/>
        <v>206.4</v>
      </c>
      <c r="M365" s="52"/>
    </row>
    <row r="366" spans="1:13" s="5" customFormat="1" ht="31.5">
      <c r="A366" s="104"/>
      <c r="B366" s="106"/>
      <c r="C366" s="23" t="s">
        <v>20</v>
      </c>
      <c r="D366" s="47" t="s">
        <v>21</v>
      </c>
      <c r="E366" s="52">
        <v>248.1</v>
      </c>
      <c r="F366" s="8"/>
      <c r="G366" s="8"/>
      <c r="H366" s="52">
        <v>1090.4</v>
      </c>
      <c r="I366" s="52">
        <f t="shared" si="24"/>
        <v>1090.4</v>
      </c>
      <c r="J366" s="52"/>
      <c r="K366" s="52"/>
      <c r="L366" s="52">
        <f t="shared" si="27"/>
        <v>842.3000000000001</v>
      </c>
      <c r="M366" s="52">
        <f t="shared" si="28"/>
        <v>439.50020153164047</v>
      </c>
    </row>
    <row r="367" spans="1:13" s="5" customFormat="1" ht="94.5" hidden="1">
      <c r="A367" s="104"/>
      <c r="B367" s="106"/>
      <c r="C367" s="22" t="s">
        <v>22</v>
      </c>
      <c r="D367" s="48" t="s">
        <v>23</v>
      </c>
      <c r="E367" s="52"/>
      <c r="F367" s="8"/>
      <c r="G367" s="8"/>
      <c r="H367" s="52"/>
      <c r="I367" s="52">
        <f t="shared" si="24"/>
        <v>0</v>
      </c>
      <c r="J367" s="52"/>
      <c r="K367" s="52"/>
      <c r="L367" s="52">
        <f t="shared" si="27"/>
        <v>0</v>
      </c>
      <c r="M367" s="52" t="e">
        <f t="shared" si="28"/>
        <v>#DIV/0!</v>
      </c>
    </row>
    <row r="368" spans="1:13" s="5" customFormat="1" ht="15.75" hidden="1">
      <c r="A368" s="108"/>
      <c r="B368" s="108"/>
      <c r="C368" s="23" t="s">
        <v>28</v>
      </c>
      <c r="D368" s="34" t="s">
        <v>29</v>
      </c>
      <c r="E368" s="52">
        <f>E369</f>
        <v>0</v>
      </c>
      <c r="F368" s="52">
        <f>F369</f>
        <v>0</v>
      </c>
      <c r="G368" s="52">
        <f>G369</f>
        <v>0</v>
      </c>
      <c r="H368" s="52">
        <f>H369</f>
        <v>0</v>
      </c>
      <c r="I368" s="52">
        <f t="shared" si="24"/>
        <v>0</v>
      </c>
      <c r="J368" s="52"/>
      <c r="K368" s="52"/>
      <c r="L368" s="52">
        <f t="shared" si="27"/>
        <v>0</v>
      </c>
      <c r="M368" s="52" t="e">
        <f t="shared" si="28"/>
        <v>#DIV/0!</v>
      </c>
    </row>
    <row r="369" spans="1:13" s="5" customFormat="1" ht="47.25" hidden="1">
      <c r="A369" s="108"/>
      <c r="B369" s="108"/>
      <c r="C369" s="22" t="s">
        <v>32</v>
      </c>
      <c r="D369" s="36" t="s">
        <v>33</v>
      </c>
      <c r="E369" s="33"/>
      <c r="F369" s="33"/>
      <c r="G369" s="33"/>
      <c r="H369" s="33"/>
      <c r="I369" s="33">
        <f t="shared" si="24"/>
        <v>0</v>
      </c>
      <c r="J369" s="33"/>
      <c r="K369" s="33"/>
      <c r="L369" s="33">
        <f t="shared" si="27"/>
        <v>0</v>
      </c>
      <c r="M369" s="33" t="e">
        <f t="shared" si="28"/>
        <v>#DIV/0!</v>
      </c>
    </row>
    <row r="370" spans="1:13" s="5" customFormat="1" ht="15.75">
      <c r="A370" s="108"/>
      <c r="B370" s="108"/>
      <c r="C370" s="23" t="s">
        <v>34</v>
      </c>
      <c r="D370" s="34" t="s">
        <v>35</v>
      </c>
      <c r="E370" s="52">
        <v>3</v>
      </c>
      <c r="F370" s="8"/>
      <c r="G370" s="8"/>
      <c r="H370" s="52">
        <v>201.2</v>
      </c>
      <c r="I370" s="52">
        <f t="shared" si="24"/>
        <v>201.2</v>
      </c>
      <c r="J370" s="52"/>
      <c r="K370" s="52"/>
      <c r="L370" s="52">
        <f t="shared" si="27"/>
        <v>198.2</v>
      </c>
      <c r="M370" s="52">
        <f t="shared" si="28"/>
        <v>6706.666666666666</v>
      </c>
    </row>
    <row r="371" spans="1:13" s="5" customFormat="1" ht="15.75">
      <c r="A371" s="108"/>
      <c r="B371" s="108"/>
      <c r="C371" s="23" t="s">
        <v>36</v>
      </c>
      <c r="D371" s="34" t="s">
        <v>37</v>
      </c>
      <c r="E371" s="52">
        <v>30</v>
      </c>
      <c r="F371" s="8"/>
      <c r="G371" s="8"/>
      <c r="H371" s="52"/>
      <c r="I371" s="52">
        <f t="shared" si="24"/>
        <v>0</v>
      </c>
      <c r="J371" s="52"/>
      <c r="K371" s="52"/>
      <c r="L371" s="52">
        <f t="shared" si="27"/>
        <v>-30</v>
      </c>
      <c r="M371" s="52">
        <f t="shared" si="28"/>
        <v>0</v>
      </c>
    </row>
    <row r="372" spans="1:13" ht="15.75">
      <c r="A372" s="108"/>
      <c r="B372" s="108"/>
      <c r="C372" s="23" t="s">
        <v>39</v>
      </c>
      <c r="D372" s="34" t="s">
        <v>120</v>
      </c>
      <c r="E372" s="52">
        <v>6104.1</v>
      </c>
      <c r="F372" s="52">
        <v>5609.5</v>
      </c>
      <c r="G372" s="52">
        <v>3662.6</v>
      </c>
      <c r="H372" s="52">
        <f>1421.7+219.9</f>
        <v>1641.6000000000001</v>
      </c>
      <c r="I372" s="52">
        <f t="shared" si="24"/>
        <v>-2020.9999999999998</v>
      </c>
      <c r="J372" s="52">
        <f>H372/G372*100</f>
        <v>44.8206192322394</v>
      </c>
      <c r="K372" s="52">
        <f>H372/F372*100</f>
        <v>29.2646403422765</v>
      </c>
      <c r="L372" s="52">
        <f t="shared" si="27"/>
        <v>-4462.5</v>
      </c>
      <c r="M372" s="52">
        <f t="shared" si="28"/>
        <v>26.893399518356514</v>
      </c>
    </row>
    <row r="373" spans="1:13" ht="15.75">
      <c r="A373" s="108"/>
      <c r="B373" s="108"/>
      <c r="C373" s="23" t="s">
        <v>41</v>
      </c>
      <c r="D373" s="34" t="s">
        <v>42</v>
      </c>
      <c r="E373" s="52">
        <v>2735.9</v>
      </c>
      <c r="F373" s="52"/>
      <c r="G373" s="52"/>
      <c r="H373" s="52"/>
      <c r="I373" s="52">
        <f t="shared" si="24"/>
        <v>0</v>
      </c>
      <c r="J373" s="52"/>
      <c r="K373" s="52"/>
      <c r="L373" s="52">
        <f t="shared" si="27"/>
        <v>-2735.9</v>
      </c>
      <c r="M373" s="52">
        <f t="shared" si="28"/>
        <v>0</v>
      </c>
    </row>
    <row r="374" spans="1:13" ht="15.75" customHeight="1">
      <c r="A374" s="108"/>
      <c r="B374" s="108"/>
      <c r="C374" s="23" t="s">
        <v>59</v>
      </c>
      <c r="D374" s="36" t="s">
        <v>60</v>
      </c>
      <c r="E374" s="52">
        <v>41400</v>
      </c>
      <c r="F374" s="52"/>
      <c r="G374" s="52"/>
      <c r="H374" s="52"/>
      <c r="I374" s="52">
        <f t="shared" si="24"/>
        <v>0</v>
      </c>
      <c r="J374" s="52"/>
      <c r="K374" s="52"/>
      <c r="L374" s="52">
        <f t="shared" si="27"/>
        <v>-41400</v>
      </c>
      <c r="M374" s="52">
        <f t="shared" si="28"/>
        <v>0</v>
      </c>
    </row>
    <row r="375" spans="1:13" ht="15.75">
      <c r="A375" s="108"/>
      <c r="B375" s="108"/>
      <c r="C375" s="23" t="s">
        <v>43</v>
      </c>
      <c r="D375" s="34" t="s">
        <v>38</v>
      </c>
      <c r="E375" s="52">
        <v>-15.2</v>
      </c>
      <c r="F375" s="52"/>
      <c r="G375" s="52"/>
      <c r="H375" s="52">
        <v>-2.6</v>
      </c>
      <c r="I375" s="52">
        <f t="shared" si="24"/>
        <v>-2.6</v>
      </c>
      <c r="J375" s="52"/>
      <c r="K375" s="52"/>
      <c r="L375" s="52">
        <f t="shared" si="27"/>
        <v>12.6</v>
      </c>
      <c r="M375" s="52">
        <f t="shared" si="28"/>
        <v>17.105263157894736</v>
      </c>
    </row>
    <row r="376" spans="1:13" ht="31.5">
      <c r="A376" s="108"/>
      <c r="B376" s="108"/>
      <c r="C376" s="23"/>
      <c r="D376" s="3" t="s">
        <v>48</v>
      </c>
      <c r="E376" s="8">
        <f>E377-E375</f>
        <v>50521.1</v>
      </c>
      <c r="F376" s="8">
        <f>F377-F375</f>
        <v>5609.5</v>
      </c>
      <c r="G376" s="8">
        <f>G377-G375</f>
        <v>3662.6</v>
      </c>
      <c r="H376" s="8">
        <f>H377-H375</f>
        <v>3139.6000000000004</v>
      </c>
      <c r="I376" s="8">
        <f t="shared" si="24"/>
        <v>-522.9999999999995</v>
      </c>
      <c r="J376" s="8">
        <f>H376/G376*100</f>
        <v>85.72052640200951</v>
      </c>
      <c r="K376" s="8">
        <f>H376/F376*100</f>
        <v>55.96933773063554</v>
      </c>
      <c r="L376" s="8">
        <f t="shared" si="27"/>
        <v>-47381.5</v>
      </c>
      <c r="M376" s="8">
        <f t="shared" si="28"/>
        <v>6.214433177424879</v>
      </c>
    </row>
    <row r="377" spans="1:13" s="5" customFormat="1" ht="15.75">
      <c r="A377" s="109"/>
      <c r="B377" s="109"/>
      <c r="C377" s="19"/>
      <c r="D377" s="3" t="s">
        <v>67</v>
      </c>
      <c r="E377" s="8">
        <f>SUM(E365:E368,E370:E375)</f>
        <v>50505.9</v>
      </c>
      <c r="F377" s="8">
        <f>SUM(F365:F368,F370:F375)</f>
        <v>5609.5</v>
      </c>
      <c r="G377" s="8">
        <f>SUM(G365:G368,G370:G375)</f>
        <v>3662.6</v>
      </c>
      <c r="H377" s="8">
        <f>SUM(H365:H368,H370:H375)</f>
        <v>3137.0000000000005</v>
      </c>
      <c r="I377" s="8">
        <f t="shared" si="24"/>
        <v>-525.5999999999995</v>
      </c>
      <c r="J377" s="8">
        <f>H377/G377*100</f>
        <v>85.64953857915144</v>
      </c>
      <c r="K377" s="8">
        <f>H377/F377*100</f>
        <v>55.92298778857297</v>
      </c>
      <c r="L377" s="8">
        <f t="shared" si="27"/>
        <v>-47368.9</v>
      </c>
      <c r="M377" s="8">
        <f t="shared" si="28"/>
        <v>6.211155528364014</v>
      </c>
    </row>
    <row r="378" spans="1:13" s="5" customFormat="1" ht="31.5">
      <c r="A378" s="103">
        <v>977</v>
      </c>
      <c r="B378" s="103" t="s">
        <v>162</v>
      </c>
      <c r="C378" s="23" t="s">
        <v>20</v>
      </c>
      <c r="D378" s="47" t="s">
        <v>21</v>
      </c>
      <c r="E378" s="52">
        <v>19.6</v>
      </c>
      <c r="F378" s="52"/>
      <c r="G378" s="52"/>
      <c r="H378" s="52"/>
      <c r="I378" s="52">
        <f t="shared" si="24"/>
        <v>0</v>
      </c>
      <c r="J378" s="52"/>
      <c r="K378" s="52"/>
      <c r="L378" s="52">
        <f t="shared" si="27"/>
        <v>-19.6</v>
      </c>
      <c r="M378" s="52">
        <f t="shared" si="28"/>
        <v>0</v>
      </c>
    </row>
    <row r="379" spans="1:13" s="5" customFormat="1" ht="15.75">
      <c r="A379" s="106"/>
      <c r="B379" s="106"/>
      <c r="C379" s="23" t="s">
        <v>28</v>
      </c>
      <c r="D379" s="34" t="s">
        <v>29</v>
      </c>
      <c r="E379" s="52">
        <f>E380+E381</f>
        <v>18.7</v>
      </c>
      <c r="F379" s="52">
        <f>F380+F381</f>
        <v>0</v>
      </c>
      <c r="G379" s="52">
        <f>G380+G381</f>
        <v>0</v>
      </c>
      <c r="H379" s="52">
        <f>H380+H381</f>
        <v>182.5</v>
      </c>
      <c r="I379" s="52">
        <f t="shared" si="24"/>
        <v>182.5</v>
      </c>
      <c r="J379" s="52"/>
      <c r="K379" s="52"/>
      <c r="L379" s="52">
        <f t="shared" si="27"/>
        <v>163.8</v>
      </c>
      <c r="M379" s="52">
        <f t="shared" si="28"/>
        <v>975.9358288770054</v>
      </c>
    </row>
    <row r="380" spans="1:13" s="5" customFormat="1" ht="47.25">
      <c r="A380" s="106"/>
      <c r="B380" s="106"/>
      <c r="C380" s="22" t="s">
        <v>54</v>
      </c>
      <c r="D380" s="55" t="s">
        <v>55</v>
      </c>
      <c r="E380" s="52"/>
      <c r="F380" s="52"/>
      <c r="G380" s="52"/>
      <c r="H380" s="52">
        <v>169.2</v>
      </c>
      <c r="I380" s="52">
        <f t="shared" si="24"/>
        <v>169.2</v>
      </c>
      <c r="J380" s="52"/>
      <c r="K380" s="52"/>
      <c r="L380" s="52">
        <f t="shared" si="27"/>
        <v>169.2</v>
      </c>
      <c r="M380" s="52"/>
    </row>
    <row r="381" spans="1:13" s="5" customFormat="1" ht="47.25">
      <c r="A381" s="106"/>
      <c r="B381" s="106"/>
      <c r="C381" s="22" t="s">
        <v>32</v>
      </c>
      <c r="D381" s="36" t="s">
        <v>33</v>
      </c>
      <c r="E381" s="52">
        <v>18.7</v>
      </c>
      <c r="F381" s="52"/>
      <c r="G381" s="52"/>
      <c r="H381" s="52">
        <v>13.3</v>
      </c>
      <c r="I381" s="52">
        <f t="shared" si="24"/>
        <v>13.3</v>
      </c>
      <c r="J381" s="52"/>
      <c r="K381" s="52"/>
      <c r="L381" s="52">
        <f t="shared" si="27"/>
        <v>-5.399999999999999</v>
      </c>
      <c r="M381" s="52">
        <f t="shared" si="28"/>
        <v>71.12299465240642</v>
      </c>
    </row>
    <row r="382" spans="1:13" s="5" customFormat="1" ht="15.75">
      <c r="A382" s="106"/>
      <c r="B382" s="106"/>
      <c r="C382" s="23" t="s">
        <v>34</v>
      </c>
      <c r="D382" s="34" t="s">
        <v>35</v>
      </c>
      <c r="E382" s="52">
        <v>70.8</v>
      </c>
      <c r="F382" s="52"/>
      <c r="G382" s="52"/>
      <c r="H382" s="52">
        <v>46.1</v>
      </c>
      <c r="I382" s="52">
        <f t="shared" si="24"/>
        <v>46.1</v>
      </c>
      <c r="J382" s="52"/>
      <c r="K382" s="52"/>
      <c r="L382" s="52">
        <f t="shared" si="27"/>
        <v>-24.699999999999996</v>
      </c>
      <c r="M382" s="52">
        <f t="shared" si="28"/>
        <v>65.11299435028249</v>
      </c>
    </row>
    <row r="383" spans="1:13" s="5" customFormat="1" ht="15.75">
      <c r="A383" s="106"/>
      <c r="B383" s="106"/>
      <c r="C383" s="23"/>
      <c r="D383" s="3" t="s">
        <v>44</v>
      </c>
      <c r="E383" s="8">
        <f>SUM(E378:E379,E382)</f>
        <v>109.1</v>
      </c>
      <c r="F383" s="8">
        <f>SUM(F378:F379,F382)</f>
        <v>0</v>
      </c>
      <c r="G383" s="8">
        <f>SUM(G378:G379,G382)</f>
        <v>0</v>
      </c>
      <c r="H383" s="8">
        <f>SUM(H378:H379,H382)</f>
        <v>228.6</v>
      </c>
      <c r="I383" s="52"/>
      <c r="J383" s="52"/>
      <c r="K383" s="52"/>
      <c r="L383" s="52"/>
      <c r="M383" s="52">
        <f t="shared" si="28"/>
        <v>209.5325389550871</v>
      </c>
    </row>
    <row r="384" spans="1:13" s="5" customFormat="1" ht="15.75">
      <c r="A384" s="106"/>
      <c r="B384" s="106"/>
      <c r="C384" s="23" t="s">
        <v>28</v>
      </c>
      <c r="D384" s="34" t="s">
        <v>29</v>
      </c>
      <c r="E384" s="52">
        <f>SUM(E385)</f>
        <v>91.3</v>
      </c>
      <c r="F384" s="52"/>
      <c r="G384" s="52"/>
      <c r="H384" s="52"/>
      <c r="I384" s="52"/>
      <c r="J384" s="52"/>
      <c r="K384" s="52"/>
      <c r="L384" s="52"/>
      <c r="M384" s="52">
        <f t="shared" si="28"/>
        <v>0</v>
      </c>
    </row>
    <row r="385" spans="1:13" s="5" customFormat="1" ht="63" hidden="1">
      <c r="A385" s="106"/>
      <c r="B385" s="106"/>
      <c r="C385" s="23" t="s">
        <v>65</v>
      </c>
      <c r="D385" s="49" t="s">
        <v>66</v>
      </c>
      <c r="E385" s="52">
        <v>91.3</v>
      </c>
      <c r="F385" s="52"/>
      <c r="G385" s="52"/>
      <c r="H385" s="52"/>
      <c r="I385" s="52"/>
      <c r="J385" s="52"/>
      <c r="K385" s="52"/>
      <c r="L385" s="52"/>
      <c r="M385" s="52">
        <f t="shared" si="28"/>
        <v>0</v>
      </c>
    </row>
    <row r="386" spans="1:13" s="5" customFormat="1" ht="15.75">
      <c r="A386" s="106"/>
      <c r="B386" s="106"/>
      <c r="C386" s="25"/>
      <c r="D386" s="3" t="s">
        <v>47</v>
      </c>
      <c r="E386" s="8">
        <f>E384</f>
        <v>91.3</v>
      </c>
      <c r="F386" s="8">
        <f>F384</f>
        <v>0</v>
      </c>
      <c r="G386" s="8">
        <f>G384</f>
        <v>0</v>
      </c>
      <c r="H386" s="8">
        <f>H384</f>
        <v>0</v>
      </c>
      <c r="I386" s="52"/>
      <c r="J386" s="52"/>
      <c r="K386" s="52"/>
      <c r="L386" s="52"/>
      <c r="M386" s="52">
        <f>H386/E386*100</f>
        <v>0</v>
      </c>
    </row>
    <row r="387" spans="1:13" s="5" customFormat="1" ht="15.75">
      <c r="A387" s="107"/>
      <c r="B387" s="107"/>
      <c r="C387" s="24"/>
      <c r="D387" s="3" t="s">
        <v>67</v>
      </c>
      <c r="E387" s="8">
        <f>E383+E386</f>
        <v>200.39999999999998</v>
      </c>
      <c r="F387" s="8">
        <f>F383+F386</f>
        <v>0</v>
      </c>
      <c r="G387" s="8">
        <f>G383+G386</f>
        <v>0</v>
      </c>
      <c r="H387" s="8">
        <f>H383+H386</f>
        <v>228.6</v>
      </c>
      <c r="I387" s="8">
        <f>H387-G387</f>
        <v>228.6</v>
      </c>
      <c r="J387" s="8"/>
      <c r="K387" s="8"/>
      <c r="L387" s="8">
        <f t="shared" si="27"/>
        <v>28.200000000000017</v>
      </c>
      <c r="M387" s="8">
        <f>H387/E387*100</f>
        <v>114.07185628742515</v>
      </c>
    </row>
    <row r="388" spans="1:13" s="5" customFormat="1" ht="31.5">
      <c r="A388" s="103">
        <v>985</v>
      </c>
      <c r="B388" s="103" t="s">
        <v>164</v>
      </c>
      <c r="C388" s="23" t="s">
        <v>20</v>
      </c>
      <c r="D388" s="47" t="s">
        <v>21</v>
      </c>
      <c r="E388" s="52">
        <v>12.5</v>
      </c>
      <c r="F388" s="52"/>
      <c r="G388" s="52"/>
      <c r="H388" s="52">
        <v>286.8</v>
      </c>
      <c r="I388" s="52">
        <f t="shared" si="24"/>
        <v>286.8</v>
      </c>
      <c r="J388" s="52"/>
      <c r="K388" s="52"/>
      <c r="L388" s="52">
        <f t="shared" si="27"/>
        <v>274.3</v>
      </c>
      <c r="M388" s="52">
        <f t="shared" si="28"/>
        <v>2294.4</v>
      </c>
    </row>
    <row r="389" spans="1:13" s="5" customFormat="1" ht="15.75">
      <c r="A389" s="106"/>
      <c r="B389" s="106"/>
      <c r="C389" s="23" t="s">
        <v>34</v>
      </c>
      <c r="D389" s="34" t="s">
        <v>35</v>
      </c>
      <c r="E389" s="52">
        <v>13.4</v>
      </c>
      <c r="F389" s="52"/>
      <c r="G389" s="52"/>
      <c r="H389" s="52"/>
      <c r="I389" s="52">
        <f t="shared" si="24"/>
        <v>0</v>
      </c>
      <c r="J389" s="52"/>
      <c r="K389" s="52"/>
      <c r="L389" s="52">
        <f t="shared" si="27"/>
        <v>-13.4</v>
      </c>
      <c r="M389" s="52">
        <f t="shared" si="28"/>
        <v>0</v>
      </c>
    </row>
    <row r="390" spans="1:13" s="5" customFormat="1" ht="15.75">
      <c r="A390" s="106"/>
      <c r="B390" s="106"/>
      <c r="C390" s="23" t="s">
        <v>41</v>
      </c>
      <c r="D390" s="34" t="s">
        <v>42</v>
      </c>
      <c r="E390" s="52">
        <v>111.3</v>
      </c>
      <c r="F390" s="52"/>
      <c r="G390" s="52"/>
      <c r="H390" s="52"/>
      <c r="I390" s="52">
        <f t="shared" si="24"/>
        <v>0</v>
      </c>
      <c r="J390" s="52"/>
      <c r="K390" s="52"/>
      <c r="L390" s="52">
        <f t="shared" si="27"/>
        <v>-111.3</v>
      </c>
      <c r="M390" s="52">
        <f t="shared" si="28"/>
        <v>0</v>
      </c>
    </row>
    <row r="391" spans="1:13" s="5" customFormat="1" ht="15.75">
      <c r="A391" s="107"/>
      <c r="B391" s="107"/>
      <c r="C391" s="24"/>
      <c r="D391" s="3" t="s">
        <v>67</v>
      </c>
      <c r="E391" s="8">
        <f>E388+E389+E390</f>
        <v>137.2</v>
      </c>
      <c r="F391" s="8">
        <f>F388+F389+F390</f>
        <v>0</v>
      </c>
      <c r="G391" s="8">
        <f>G388+G389+G390</f>
        <v>0</v>
      </c>
      <c r="H391" s="8">
        <f>H388+H389+H390</f>
        <v>286.8</v>
      </c>
      <c r="I391" s="8">
        <f t="shared" si="24"/>
        <v>286.8</v>
      </c>
      <c r="J391" s="8"/>
      <c r="K391" s="8"/>
      <c r="L391" s="8">
        <f t="shared" si="27"/>
        <v>149.60000000000002</v>
      </c>
      <c r="M391" s="8">
        <f t="shared" si="28"/>
        <v>209.0379008746356</v>
      </c>
    </row>
    <row r="392" spans="1:13" s="5" customFormat="1" ht="78.75">
      <c r="A392" s="100" t="s">
        <v>165</v>
      </c>
      <c r="B392" s="103" t="s">
        <v>166</v>
      </c>
      <c r="C392" s="22" t="s">
        <v>18</v>
      </c>
      <c r="D392" s="36" t="s">
        <v>116</v>
      </c>
      <c r="E392" s="52">
        <v>27888</v>
      </c>
      <c r="F392" s="52">
        <v>43279.1</v>
      </c>
      <c r="G392" s="52">
        <v>25624.1</v>
      </c>
      <c r="H392" s="52">
        <v>24132.6</v>
      </c>
      <c r="I392" s="52">
        <f t="shared" si="24"/>
        <v>-1491.5</v>
      </c>
      <c r="J392" s="52">
        <f>H392/G392*100</f>
        <v>94.17930776105307</v>
      </c>
      <c r="K392" s="52">
        <f>H392/F392*100</f>
        <v>55.76040167193865</v>
      </c>
      <c r="L392" s="52">
        <f t="shared" si="27"/>
        <v>-3755.4000000000015</v>
      </c>
      <c r="M392" s="52">
        <f t="shared" si="28"/>
        <v>86.53399311531841</v>
      </c>
    </row>
    <row r="393" spans="1:13" s="5" customFormat="1" ht="31.5">
      <c r="A393" s="104"/>
      <c r="B393" s="106"/>
      <c r="C393" s="23" t="s">
        <v>20</v>
      </c>
      <c r="D393" s="47" t="s">
        <v>21</v>
      </c>
      <c r="E393" s="52">
        <v>2</v>
      </c>
      <c r="F393" s="52"/>
      <c r="G393" s="52"/>
      <c r="H393" s="52">
        <v>2243.2</v>
      </c>
      <c r="I393" s="52">
        <f t="shared" si="24"/>
        <v>2243.2</v>
      </c>
      <c r="J393" s="52"/>
      <c r="K393" s="52"/>
      <c r="L393" s="52">
        <f t="shared" si="27"/>
        <v>2241.2</v>
      </c>
      <c r="M393" s="52">
        <f t="shared" si="28"/>
        <v>112159.99999999999</v>
      </c>
    </row>
    <row r="394" spans="1:13" s="5" customFormat="1" ht="15.75">
      <c r="A394" s="108"/>
      <c r="B394" s="108"/>
      <c r="C394" s="23" t="s">
        <v>101</v>
      </c>
      <c r="D394" s="34" t="s">
        <v>102</v>
      </c>
      <c r="E394" s="52"/>
      <c r="F394" s="52">
        <v>389.3</v>
      </c>
      <c r="G394" s="52">
        <v>389.3</v>
      </c>
      <c r="H394" s="52">
        <v>401.3</v>
      </c>
      <c r="I394" s="52">
        <f aca="true" t="shared" si="31" ref="I394:I438">H394-G394</f>
        <v>12</v>
      </c>
      <c r="J394" s="52"/>
      <c r="K394" s="52">
        <f aca="true" t="shared" si="32" ref="K394:K438">H394/F394*100</f>
        <v>103.08245568969947</v>
      </c>
      <c r="L394" s="52">
        <f aca="true" t="shared" si="33" ref="L394:L438">H394-E394</f>
        <v>401.3</v>
      </c>
      <c r="M394" s="52"/>
    </row>
    <row r="395" spans="1:13" s="5" customFormat="1" ht="15.75">
      <c r="A395" s="108"/>
      <c r="B395" s="108"/>
      <c r="C395" s="23" t="s">
        <v>28</v>
      </c>
      <c r="D395" s="34" t="s">
        <v>29</v>
      </c>
      <c r="E395" s="52">
        <f>E396</f>
        <v>13.1</v>
      </c>
      <c r="F395" s="52">
        <f>F396</f>
        <v>0</v>
      </c>
      <c r="G395" s="52">
        <f>G396</f>
        <v>0</v>
      </c>
      <c r="H395" s="52">
        <f>H396</f>
        <v>0</v>
      </c>
      <c r="I395" s="52">
        <f t="shared" si="31"/>
        <v>0</v>
      </c>
      <c r="J395" s="52"/>
      <c r="K395" s="52"/>
      <c r="L395" s="52">
        <f t="shared" si="33"/>
        <v>-13.1</v>
      </c>
      <c r="M395" s="52">
        <f aca="true" t="shared" si="34" ref="M395:M438">H395/E395*100</f>
        <v>0</v>
      </c>
    </row>
    <row r="396" spans="1:13" s="5" customFormat="1" ht="47.25" hidden="1">
      <c r="A396" s="108"/>
      <c r="B396" s="108"/>
      <c r="C396" s="22" t="s">
        <v>32</v>
      </c>
      <c r="D396" s="36" t="s">
        <v>33</v>
      </c>
      <c r="E396" s="52">
        <v>13.1</v>
      </c>
      <c r="F396" s="52"/>
      <c r="G396" s="52"/>
      <c r="H396" s="52"/>
      <c r="I396" s="52">
        <f t="shared" si="31"/>
        <v>0</v>
      </c>
      <c r="J396" s="52"/>
      <c r="K396" s="52"/>
      <c r="L396" s="52">
        <f t="shared" si="33"/>
        <v>-13.1</v>
      </c>
      <c r="M396" s="52">
        <f t="shared" si="34"/>
        <v>0</v>
      </c>
    </row>
    <row r="397" spans="1:13" s="5" customFormat="1" ht="15.75" hidden="1">
      <c r="A397" s="108"/>
      <c r="B397" s="108"/>
      <c r="C397" s="23" t="s">
        <v>34</v>
      </c>
      <c r="D397" s="34" t="s">
        <v>35</v>
      </c>
      <c r="E397" s="52"/>
      <c r="F397" s="52"/>
      <c r="G397" s="52"/>
      <c r="H397" s="52"/>
      <c r="I397" s="52">
        <f t="shared" si="31"/>
        <v>0</v>
      </c>
      <c r="J397" s="52"/>
      <c r="K397" s="52"/>
      <c r="L397" s="52">
        <f t="shared" si="33"/>
        <v>0</v>
      </c>
      <c r="M397" s="52" t="e">
        <f t="shared" si="34"/>
        <v>#DIV/0!</v>
      </c>
    </row>
    <row r="398" spans="1:13" s="5" customFormat="1" ht="15.75">
      <c r="A398" s="108"/>
      <c r="B398" s="108"/>
      <c r="C398" s="23" t="s">
        <v>36</v>
      </c>
      <c r="D398" s="34" t="s">
        <v>37</v>
      </c>
      <c r="E398" s="52"/>
      <c r="F398" s="52"/>
      <c r="G398" s="52"/>
      <c r="H398" s="52">
        <v>15921.5</v>
      </c>
      <c r="I398" s="52">
        <f t="shared" si="31"/>
        <v>15921.5</v>
      </c>
      <c r="J398" s="52"/>
      <c r="K398" s="52"/>
      <c r="L398" s="52">
        <f t="shared" si="33"/>
        <v>15921.5</v>
      </c>
      <c r="M398" s="52"/>
    </row>
    <row r="399" spans="1:13" s="5" customFormat="1" ht="15.75">
      <c r="A399" s="108"/>
      <c r="B399" s="108"/>
      <c r="C399" s="23" t="s">
        <v>39</v>
      </c>
      <c r="D399" s="34" t="s">
        <v>40</v>
      </c>
      <c r="E399" s="33"/>
      <c r="F399" s="33">
        <f>54758.5+4383.3</f>
        <v>59141.8</v>
      </c>
      <c r="G399" s="33">
        <v>59141.8</v>
      </c>
      <c r="H399" s="33">
        <f>4383.3+54758.5</f>
        <v>59141.8</v>
      </c>
      <c r="I399" s="33">
        <f t="shared" si="31"/>
        <v>0</v>
      </c>
      <c r="J399" s="33">
        <f aca="true" t="shared" si="35" ref="J399:J438">H399/G399*100</f>
        <v>100</v>
      </c>
      <c r="K399" s="33">
        <f t="shared" si="32"/>
        <v>100</v>
      </c>
      <c r="L399" s="33">
        <f t="shared" si="33"/>
        <v>59141.8</v>
      </c>
      <c r="M399" s="33"/>
    </row>
    <row r="400" spans="1:13" s="5" customFormat="1" ht="15.75">
      <c r="A400" s="108"/>
      <c r="B400" s="108"/>
      <c r="C400" s="23" t="s">
        <v>41</v>
      </c>
      <c r="D400" s="34" t="s">
        <v>42</v>
      </c>
      <c r="E400" s="33">
        <v>85405.5</v>
      </c>
      <c r="F400" s="52">
        <f>25834.6+39640.5+18.3</f>
        <v>65493.4</v>
      </c>
      <c r="G400" s="52">
        <f>10.7+30717.3+25834.6</f>
        <v>56562.6</v>
      </c>
      <c r="H400" s="52">
        <f>13.7+32947.2+25225.2</f>
        <v>58186.09999999999</v>
      </c>
      <c r="I400" s="33">
        <f t="shared" si="31"/>
        <v>1623.4999999999927</v>
      </c>
      <c r="J400" s="33">
        <f t="shared" si="35"/>
        <v>102.87027116858134</v>
      </c>
      <c r="K400" s="33">
        <f t="shared" si="32"/>
        <v>88.84269254611914</v>
      </c>
      <c r="L400" s="33">
        <f t="shared" si="33"/>
        <v>-27219.40000000001</v>
      </c>
      <c r="M400" s="33">
        <f t="shared" si="34"/>
        <v>68.12921884421962</v>
      </c>
    </row>
    <row r="401" spans="1:13" s="5" customFormat="1" ht="15.75">
      <c r="A401" s="108"/>
      <c r="B401" s="108"/>
      <c r="C401" s="23" t="s">
        <v>59</v>
      </c>
      <c r="D401" s="36" t="s">
        <v>60</v>
      </c>
      <c r="E401" s="52">
        <v>32115.9</v>
      </c>
      <c r="F401" s="52">
        <v>48065.8</v>
      </c>
      <c r="G401" s="52">
        <v>48065.8</v>
      </c>
      <c r="H401" s="52">
        <v>9072.9</v>
      </c>
      <c r="I401" s="52">
        <f t="shared" si="31"/>
        <v>-38992.9</v>
      </c>
      <c r="J401" s="52">
        <f t="shared" si="35"/>
        <v>18.87599915116361</v>
      </c>
      <c r="K401" s="52">
        <f t="shared" si="32"/>
        <v>18.87599915116361</v>
      </c>
      <c r="L401" s="52">
        <f t="shared" si="33"/>
        <v>-23043</v>
      </c>
      <c r="M401" s="52">
        <f t="shared" si="34"/>
        <v>28.25049274658347</v>
      </c>
    </row>
    <row r="402" spans="1:13" s="5" customFormat="1" ht="15.75">
      <c r="A402" s="108"/>
      <c r="B402" s="108"/>
      <c r="C402" s="23" t="s">
        <v>43</v>
      </c>
      <c r="D402" s="34" t="s">
        <v>38</v>
      </c>
      <c r="E402" s="52">
        <v>-6048.3</v>
      </c>
      <c r="F402" s="52"/>
      <c r="G402" s="52"/>
      <c r="H402" s="52">
        <v>-39572.2</v>
      </c>
      <c r="I402" s="52">
        <f t="shared" si="31"/>
        <v>-39572.2</v>
      </c>
      <c r="J402" s="52"/>
      <c r="K402" s="52"/>
      <c r="L402" s="52">
        <f t="shared" si="33"/>
        <v>-33523.899999999994</v>
      </c>
      <c r="M402" s="52">
        <f t="shared" si="34"/>
        <v>654.2697948183786</v>
      </c>
    </row>
    <row r="403" spans="1:13" s="5" customFormat="1" ht="31.5">
      <c r="A403" s="108"/>
      <c r="B403" s="108"/>
      <c r="C403" s="25"/>
      <c r="D403" s="3" t="s">
        <v>48</v>
      </c>
      <c r="E403" s="8">
        <f>E404-E402</f>
        <v>145424.5</v>
      </c>
      <c r="F403" s="8">
        <f>F404-F402</f>
        <v>216369.40000000002</v>
      </c>
      <c r="G403" s="8">
        <f>G404-G402</f>
        <v>189783.59999999998</v>
      </c>
      <c r="H403" s="8">
        <f>H404-H402</f>
        <v>169099.4</v>
      </c>
      <c r="I403" s="8">
        <f t="shared" si="31"/>
        <v>-20684.199999999983</v>
      </c>
      <c r="J403" s="8">
        <f t="shared" si="35"/>
        <v>89.10116574877914</v>
      </c>
      <c r="K403" s="8">
        <f t="shared" si="32"/>
        <v>78.15310298036597</v>
      </c>
      <c r="L403" s="8">
        <f t="shared" si="33"/>
        <v>23674.899999999994</v>
      </c>
      <c r="M403" s="8">
        <f t="shared" si="34"/>
        <v>116.27985655787023</v>
      </c>
    </row>
    <row r="404" spans="1:13" s="5" customFormat="1" ht="15.75">
      <c r="A404" s="109"/>
      <c r="B404" s="109"/>
      <c r="C404" s="19"/>
      <c r="D404" s="3" t="s">
        <v>67</v>
      </c>
      <c r="E404" s="8">
        <f>SUM(E392:E395,E397:E402)</f>
        <v>139376.2</v>
      </c>
      <c r="F404" s="8">
        <f>SUM(F392:F395,F397:F402)</f>
        <v>216369.40000000002</v>
      </c>
      <c r="G404" s="8">
        <f>SUM(G392:G395,G397:G402)</f>
        <v>189783.59999999998</v>
      </c>
      <c r="H404" s="8">
        <f>SUM(H392:H395,H397:H402)</f>
        <v>129527.2</v>
      </c>
      <c r="I404" s="8">
        <f t="shared" si="31"/>
        <v>-60256.39999999998</v>
      </c>
      <c r="J404" s="8">
        <f t="shared" si="35"/>
        <v>68.24994361999669</v>
      </c>
      <c r="K404" s="8">
        <f t="shared" si="32"/>
        <v>59.86391791075817</v>
      </c>
      <c r="L404" s="8">
        <f t="shared" si="33"/>
        <v>-9849.000000000015</v>
      </c>
      <c r="M404" s="8">
        <f t="shared" si="34"/>
        <v>92.9335137562941</v>
      </c>
    </row>
    <row r="405" spans="1:13" ht="63">
      <c r="A405" s="100" t="s">
        <v>167</v>
      </c>
      <c r="B405" s="103" t="s">
        <v>168</v>
      </c>
      <c r="C405" s="22" t="s">
        <v>12</v>
      </c>
      <c r="D405" s="45" t="s">
        <v>13</v>
      </c>
      <c r="E405" s="33">
        <v>224927.2</v>
      </c>
      <c r="F405" s="33">
        <v>405179.2</v>
      </c>
      <c r="G405" s="33">
        <v>186068.9</v>
      </c>
      <c r="H405" s="33">
        <v>244859.7</v>
      </c>
      <c r="I405" s="33">
        <f t="shared" si="31"/>
        <v>58790.80000000002</v>
      </c>
      <c r="J405" s="33">
        <f t="shared" si="35"/>
        <v>131.5962527859304</v>
      </c>
      <c r="K405" s="33">
        <f t="shared" si="32"/>
        <v>60.43244569316491</v>
      </c>
      <c r="L405" s="33">
        <f t="shared" si="33"/>
        <v>19932.5</v>
      </c>
      <c r="M405" s="33">
        <f t="shared" si="34"/>
        <v>108.8617561593262</v>
      </c>
    </row>
    <row r="406" spans="1:13" ht="31.5">
      <c r="A406" s="104"/>
      <c r="B406" s="106"/>
      <c r="C406" s="23" t="s">
        <v>169</v>
      </c>
      <c r="D406" s="34" t="s">
        <v>170</v>
      </c>
      <c r="E406" s="33">
        <v>17198</v>
      </c>
      <c r="F406" s="33">
        <v>37924.1</v>
      </c>
      <c r="G406" s="33">
        <v>12900</v>
      </c>
      <c r="H406" s="33">
        <v>15668.6</v>
      </c>
      <c r="I406" s="33">
        <f t="shared" si="31"/>
        <v>2768.6000000000004</v>
      </c>
      <c r="J406" s="33">
        <f t="shared" si="35"/>
        <v>121.46201550387596</v>
      </c>
      <c r="K406" s="33">
        <f t="shared" si="32"/>
        <v>41.31568053032241</v>
      </c>
      <c r="L406" s="33">
        <f t="shared" si="33"/>
        <v>-1529.3999999999996</v>
      </c>
      <c r="M406" s="33">
        <f t="shared" si="34"/>
        <v>91.10710547738108</v>
      </c>
    </row>
    <row r="407" spans="1:13" ht="31.5">
      <c r="A407" s="104"/>
      <c r="B407" s="106"/>
      <c r="C407" s="23" t="s">
        <v>20</v>
      </c>
      <c r="D407" s="47" t="s">
        <v>21</v>
      </c>
      <c r="E407" s="56">
        <v>157</v>
      </c>
      <c r="F407" s="33"/>
      <c r="G407" s="33"/>
      <c r="H407" s="33">
        <v>36.9</v>
      </c>
      <c r="I407" s="56">
        <f t="shared" si="31"/>
        <v>36.9</v>
      </c>
      <c r="J407" s="56"/>
      <c r="K407" s="56"/>
      <c r="L407" s="56">
        <f t="shared" si="33"/>
        <v>-120.1</v>
      </c>
      <c r="M407" s="56">
        <f t="shared" si="34"/>
        <v>23.503184713375795</v>
      </c>
    </row>
    <row r="408" spans="1:13" ht="47.25">
      <c r="A408" s="104"/>
      <c r="B408" s="106"/>
      <c r="C408" s="22" t="s">
        <v>26</v>
      </c>
      <c r="D408" s="36" t="s">
        <v>27</v>
      </c>
      <c r="E408" s="33">
        <v>173704.2</v>
      </c>
      <c r="F408" s="33">
        <v>194210.3</v>
      </c>
      <c r="G408" s="33">
        <v>117169.6</v>
      </c>
      <c r="H408" s="33">
        <v>36659.9</v>
      </c>
      <c r="I408" s="33">
        <f t="shared" si="31"/>
        <v>-80509.70000000001</v>
      </c>
      <c r="J408" s="33">
        <f t="shared" si="35"/>
        <v>31.28789378814983</v>
      </c>
      <c r="K408" s="33">
        <f t="shared" si="32"/>
        <v>18.876393270593788</v>
      </c>
      <c r="L408" s="33">
        <f t="shared" si="33"/>
        <v>-137044.30000000002</v>
      </c>
      <c r="M408" s="33">
        <f t="shared" si="34"/>
        <v>21.10478618248724</v>
      </c>
    </row>
    <row r="409" spans="1:13" ht="15.75">
      <c r="A409" s="104"/>
      <c r="B409" s="106"/>
      <c r="C409" s="23" t="s">
        <v>34</v>
      </c>
      <c r="D409" s="34" t="s">
        <v>35</v>
      </c>
      <c r="E409" s="33">
        <v>-710.8</v>
      </c>
      <c r="F409" s="33"/>
      <c r="G409" s="33"/>
      <c r="H409" s="33">
        <v>-24.3</v>
      </c>
      <c r="I409" s="33">
        <f t="shared" si="31"/>
        <v>-24.3</v>
      </c>
      <c r="J409" s="33"/>
      <c r="K409" s="33"/>
      <c r="L409" s="33">
        <f t="shared" si="33"/>
        <v>686.5</v>
      </c>
      <c r="M409" s="33">
        <f t="shared" si="34"/>
        <v>3.4186831738885766</v>
      </c>
    </row>
    <row r="410" spans="1:13" ht="15.75">
      <c r="A410" s="104"/>
      <c r="B410" s="106"/>
      <c r="C410" s="23" t="s">
        <v>36</v>
      </c>
      <c r="D410" s="34" t="s">
        <v>163</v>
      </c>
      <c r="E410" s="33"/>
      <c r="F410" s="33"/>
      <c r="G410" s="33"/>
      <c r="H410" s="33">
        <v>2.4</v>
      </c>
      <c r="I410" s="33">
        <f t="shared" si="31"/>
        <v>2.4</v>
      </c>
      <c r="J410" s="33"/>
      <c r="K410" s="33"/>
      <c r="L410" s="33">
        <f t="shared" si="33"/>
        <v>2.4</v>
      </c>
      <c r="M410" s="33"/>
    </row>
    <row r="411" spans="1:13" ht="15.75">
      <c r="A411" s="104"/>
      <c r="B411" s="106"/>
      <c r="C411" s="23" t="s">
        <v>41</v>
      </c>
      <c r="D411" s="34" t="s">
        <v>42</v>
      </c>
      <c r="E411" s="33">
        <v>27.8</v>
      </c>
      <c r="F411" s="33"/>
      <c r="G411" s="33"/>
      <c r="H411" s="33"/>
      <c r="I411" s="33">
        <f t="shared" si="31"/>
        <v>0</v>
      </c>
      <c r="J411" s="33"/>
      <c r="K411" s="33"/>
      <c r="L411" s="33">
        <f t="shared" si="33"/>
        <v>-27.8</v>
      </c>
      <c r="M411" s="33">
        <f t="shared" si="34"/>
        <v>0</v>
      </c>
    </row>
    <row r="412" spans="1:13" s="5" customFormat="1" ht="15.75">
      <c r="A412" s="104"/>
      <c r="B412" s="106"/>
      <c r="C412" s="24"/>
      <c r="D412" s="3" t="s">
        <v>44</v>
      </c>
      <c r="E412" s="8">
        <f>SUM(E405:E411)</f>
        <v>415303.4</v>
      </c>
      <c r="F412" s="8">
        <f>SUM(F405:F411)</f>
        <v>637313.6</v>
      </c>
      <c r="G412" s="8">
        <f>SUM(G405:G411)</f>
        <v>316138.5</v>
      </c>
      <c r="H412" s="8">
        <f>SUM(H405:H411)</f>
        <v>297203.20000000007</v>
      </c>
      <c r="I412" s="8">
        <f t="shared" si="31"/>
        <v>-18935.29999999993</v>
      </c>
      <c r="J412" s="8">
        <f t="shared" si="35"/>
        <v>94.01044162605949</v>
      </c>
      <c r="K412" s="8">
        <f t="shared" si="32"/>
        <v>46.63374514524718</v>
      </c>
      <c r="L412" s="8">
        <f t="shared" si="33"/>
        <v>-118100.19999999995</v>
      </c>
      <c r="M412" s="8">
        <f t="shared" si="34"/>
        <v>71.5629103927394</v>
      </c>
    </row>
    <row r="413" spans="1:13" ht="15.75">
      <c r="A413" s="104"/>
      <c r="B413" s="106"/>
      <c r="C413" s="23" t="s">
        <v>171</v>
      </c>
      <c r="D413" s="34" t="s">
        <v>172</v>
      </c>
      <c r="E413" s="33">
        <v>56133.5</v>
      </c>
      <c r="F413" s="33">
        <v>53346</v>
      </c>
      <c r="G413" s="33">
        <v>33719.1</v>
      </c>
      <c r="H413" s="33">
        <v>41876.3</v>
      </c>
      <c r="I413" s="33">
        <f t="shared" si="31"/>
        <v>8157.200000000004</v>
      </c>
      <c r="J413" s="33">
        <f t="shared" si="35"/>
        <v>124.1916302629667</v>
      </c>
      <c r="K413" s="33">
        <f t="shared" si="32"/>
        <v>78.4994188880141</v>
      </c>
      <c r="L413" s="33">
        <f t="shared" si="33"/>
        <v>-14257.199999999997</v>
      </c>
      <c r="M413" s="33">
        <f t="shared" si="34"/>
        <v>74.60126306038283</v>
      </c>
    </row>
    <row r="414" spans="1:13" ht="15.75">
      <c r="A414" s="104"/>
      <c r="B414" s="106"/>
      <c r="C414" s="23" t="s">
        <v>173</v>
      </c>
      <c r="D414" s="34" t="s">
        <v>174</v>
      </c>
      <c r="E414" s="33">
        <v>1923891.7</v>
      </c>
      <c r="F414" s="33">
        <f>89234.5+3315250.5</f>
        <v>3404485</v>
      </c>
      <c r="G414" s="33">
        <f>46942.3+1975923.5</f>
        <v>2022865.8</v>
      </c>
      <c r="H414" s="33">
        <f>82735+1909100.4</f>
        <v>1991835.4</v>
      </c>
      <c r="I414" s="33">
        <f t="shared" si="31"/>
        <v>-31030.40000000014</v>
      </c>
      <c r="J414" s="33">
        <f t="shared" si="35"/>
        <v>98.46601786435856</v>
      </c>
      <c r="K414" s="33">
        <f t="shared" si="32"/>
        <v>58.50621753363578</v>
      </c>
      <c r="L414" s="33">
        <f t="shared" si="33"/>
        <v>67943.69999999995</v>
      </c>
      <c r="M414" s="33">
        <f t="shared" si="34"/>
        <v>103.53157612769992</v>
      </c>
    </row>
    <row r="415" spans="1:13" ht="15.75">
      <c r="A415" s="104"/>
      <c r="B415" s="106"/>
      <c r="C415" s="23" t="s">
        <v>63</v>
      </c>
      <c r="D415" s="50" t="s">
        <v>64</v>
      </c>
      <c r="E415" s="52">
        <v>23244.9</v>
      </c>
      <c r="F415" s="33"/>
      <c r="G415" s="33"/>
      <c r="H415" s="33">
        <v>288.6</v>
      </c>
      <c r="I415" s="52">
        <f t="shared" si="31"/>
        <v>288.6</v>
      </c>
      <c r="J415" s="52"/>
      <c r="K415" s="52"/>
      <c r="L415" s="52">
        <f t="shared" si="33"/>
        <v>-22956.300000000003</v>
      </c>
      <c r="M415" s="52">
        <f t="shared" si="34"/>
        <v>1.241562665358853</v>
      </c>
    </row>
    <row r="416" spans="1:13" ht="63">
      <c r="A416" s="104"/>
      <c r="B416" s="106"/>
      <c r="C416" s="22" t="s">
        <v>12</v>
      </c>
      <c r="D416" s="45" t="s">
        <v>13</v>
      </c>
      <c r="E416" s="52">
        <v>-49.8</v>
      </c>
      <c r="F416" s="33"/>
      <c r="G416" s="33"/>
      <c r="H416" s="33"/>
      <c r="I416" s="52">
        <f t="shared" si="31"/>
        <v>0</v>
      </c>
      <c r="J416" s="52"/>
      <c r="K416" s="52"/>
      <c r="L416" s="52">
        <f t="shared" si="33"/>
        <v>49.8</v>
      </c>
      <c r="M416" s="52">
        <f t="shared" si="34"/>
        <v>0</v>
      </c>
    </row>
    <row r="417" spans="1:13" ht="15.75">
      <c r="A417" s="104"/>
      <c r="B417" s="106"/>
      <c r="C417" s="23" t="s">
        <v>28</v>
      </c>
      <c r="D417" s="34" t="s">
        <v>29</v>
      </c>
      <c r="E417" s="33">
        <f>E418</f>
        <v>303.1</v>
      </c>
      <c r="F417" s="33">
        <f>F418</f>
        <v>729</v>
      </c>
      <c r="G417" s="33">
        <f>G418</f>
        <v>391.1</v>
      </c>
      <c r="H417" s="33">
        <f>H418</f>
        <v>394.2</v>
      </c>
      <c r="I417" s="33">
        <f t="shared" si="31"/>
        <v>3.099999999999966</v>
      </c>
      <c r="J417" s="33">
        <f t="shared" si="35"/>
        <v>100.7926361544362</v>
      </c>
      <c r="K417" s="33">
        <f t="shared" si="32"/>
        <v>54.074074074074076</v>
      </c>
      <c r="L417" s="33">
        <f t="shared" si="33"/>
        <v>91.09999999999997</v>
      </c>
      <c r="M417" s="33">
        <f t="shared" si="34"/>
        <v>130.056087099967</v>
      </c>
    </row>
    <row r="418" spans="1:13" ht="31.5" hidden="1">
      <c r="A418" s="104"/>
      <c r="B418" s="106"/>
      <c r="C418" s="22" t="s">
        <v>175</v>
      </c>
      <c r="D418" s="36" t="s">
        <v>176</v>
      </c>
      <c r="E418" s="33">
        <v>303.1</v>
      </c>
      <c r="F418" s="33">
        <v>729</v>
      </c>
      <c r="G418" s="33">
        <v>391.1</v>
      </c>
      <c r="H418" s="33">
        <v>394.2</v>
      </c>
      <c r="I418" s="33">
        <f t="shared" si="31"/>
        <v>3.099999999999966</v>
      </c>
      <c r="J418" s="33">
        <f t="shared" si="35"/>
        <v>100.7926361544362</v>
      </c>
      <c r="K418" s="33">
        <f t="shared" si="32"/>
        <v>54.074074074074076</v>
      </c>
      <c r="L418" s="33">
        <f t="shared" si="33"/>
        <v>91.09999999999997</v>
      </c>
      <c r="M418" s="33">
        <f t="shared" si="34"/>
        <v>130.056087099967</v>
      </c>
    </row>
    <row r="419" spans="1:13" s="5" customFormat="1" ht="15.75">
      <c r="A419" s="104"/>
      <c r="B419" s="106"/>
      <c r="C419" s="24"/>
      <c r="D419" s="3" t="s">
        <v>47</v>
      </c>
      <c r="E419" s="8">
        <f>SUM(E413:E417)</f>
        <v>2003523.4</v>
      </c>
      <c r="F419" s="8">
        <f>SUM(F413:F417)</f>
        <v>3458560</v>
      </c>
      <c r="G419" s="8">
        <f>SUM(G413:G417)</f>
        <v>2056976.0000000002</v>
      </c>
      <c r="H419" s="8">
        <f>SUM(H413:H417)</f>
        <v>2034394.5</v>
      </c>
      <c r="I419" s="8">
        <f t="shared" si="31"/>
        <v>-22581.500000000233</v>
      </c>
      <c r="J419" s="8">
        <f t="shared" si="35"/>
        <v>98.90219915059775</v>
      </c>
      <c r="K419" s="8">
        <f t="shared" si="32"/>
        <v>58.82200973815692</v>
      </c>
      <c r="L419" s="8">
        <f t="shared" si="33"/>
        <v>30871.100000000093</v>
      </c>
      <c r="M419" s="8">
        <f t="shared" si="34"/>
        <v>101.54084050128888</v>
      </c>
    </row>
    <row r="420" spans="1:13" s="5" customFormat="1" ht="15.75">
      <c r="A420" s="105"/>
      <c r="B420" s="107"/>
      <c r="C420" s="24"/>
      <c r="D420" s="3" t="s">
        <v>67</v>
      </c>
      <c r="E420" s="8">
        <f>E412+E419</f>
        <v>2418826.8</v>
      </c>
      <c r="F420" s="8">
        <f>F412+F419</f>
        <v>4095873.6</v>
      </c>
      <c r="G420" s="8">
        <f>G412+G419</f>
        <v>2373114.5</v>
      </c>
      <c r="H420" s="8">
        <f>H412+H419</f>
        <v>2331597.7</v>
      </c>
      <c r="I420" s="8">
        <f t="shared" si="31"/>
        <v>-41516.799999999814</v>
      </c>
      <c r="J420" s="8">
        <f t="shared" si="35"/>
        <v>98.25053531972436</v>
      </c>
      <c r="K420" s="8">
        <f t="shared" si="32"/>
        <v>56.92552865889221</v>
      </c>
      <c r="L420" s="8">
        <f t="shared" si="33"/>
        <v>-87229.09999999963</v>
      </c>
      <c r="M420" s="8">
        <f t="shared" si="34"/>
        <v>96.39374344620293</v>
      </c>
    </row>
    <row r="421" spans="1:13" s="5" customFormat="1" ht="15.75" hidden="1">
      <c r="A421" s="103"/>
      <c r="B421" s="103" t="s">
        <v>177</v>
      </c>
      <c r="C421" s="23" t="s">
        <v>63</v>
      </c>
      <c r="D421" s="50" t="s">
        <v>64</v>
      </c>
      <c r="E421" s="52"/>
      <c r="F421" s="8"/>
      <c r="G421" s="8"/>
      <c r="H421" s="52"/>
      <c r="I421" s="52">
        <f t="shared" si="31"/>
        <v>0</v>
      </c>
      <c r="J421" s="52" t="e">
        <f t="shared" si="35"/>
        <v>#DIV/0!</v>
      </c>
      <c r="K421" s="52" t="e">
        <f t="shared" si="32"/>
        <v>#DIV/0!</v>
      </c>
      <c r="L421" s="52">
        <f t="shared" si="33"/>
        <v>0</v>
      </c>
      <c r="M421" s="52" t="e">
        <f t="shared" si="34"/>
        <v>#DIV/0!</v>
      </c>
    </row>
    <row r="422" spans="1:13" s="5" customFormat="1" ht="94.5" hidden="1">
      <c r="A422" s="106"/>
      <c r="B422" s="106"/>
      <c r="C422" s="26" t="s">
        <v>178</v>
      </c>
      <c r="D422" s="51" t="s">
        <v>179</v>
      </c>
      <c r="E422" s="33"/>
      <c r="F422" s="33"/>
      <c r="G422" s="33"/>
      <c r="H422" s="33"/>
      <c r="I422" s="33">
        <f t="shared" si="31"/>
        <v>0</v>
      </c>
      <c r="J422" s="33" t="e">
        <f t="shared" si="35"/>
        <v>#DIV/0!</v>
      </c>
      <c r="K422" s="33" t="e">
        <f t="shared" si="32"/>
        <v>#DIV/0!</v>
      </c>
      <c r="L422" s="33">
        <f t="shared" si="33"/>
        <v>0</v>
      </c>
      <c r="M422" s="33" t="e">
        <f t="shared" si="34"/>
        <v>#DIV/0!</v>
      </c>
    </row>
    <row r="423" spans="1:13" s="5" customFormat="1" ht="78.75" hidden="1">
      <c r="A423" s="106"/>
      <c r="B423" s="106"/>
      <c r="C423" s="28" t="s">
        <v>180</v>
      </c>
      <c r="D423" s="51" t="s">
        <v>181</v>
      </c>
      <c r="E423" s="33"/>
      <c r="F423" s="33"/>
      <c r="G423" s="33"/>
      <c r="H423" s="33"/>
      <c r="I423" s="33">
        <f t="shared" si="31"/>
        <v>0</v>
      </c>
      <c r="J423" s="33" t="e">
        <f t="shared" si="35"/>
        <v>#DIV/0!</v>
      </c>
      <c r="K423" s="33" t="e">
        <f t="shared" si="32"/>
        <v>#DIV/0!</v>
      </c>
      <c r="L423" s="33">
        <f t="shared" si="33"/>
        <v>0</v>
      </c>
      <c r="M423" s="33" t="e">
        <f t="shared" si="34"/>
        <v>#DIV/0!</v>
      </c>
    </row>
    <row r="424" spans="1:13" ht="15.75" hidden="1">
      <c r="A424" s="108"/>
      <c r="B424" s="108"/>
      <c r="C424" s="23" t="s">
        <v>28</v>
      </c>
      <c r="D424" s="34" t="s">
        <v>29</v>
      </c>
      <c r="E424" s="33">
        <f>SUM(E425:E425)</f>
        <v>0</v>
      </c>
      <c r="F424" s="33">
        <f>SUM(F425:F425)</f>
        <v>0</v>
      </c>
      <c r="G424" s="33">
        <f>SUM(G425:G425)</f>
        <v>0</v>
      </c>
      <c r="H424" s="33">
        <f>SUM(H425:H425)</f>
        <v>0</v>
      </c>
      <c r="I424" s="33">
        <f t="shared" si="31"/>
        <v>0</v>
      </c>
      <c r="J424" s="33" t="e">
        <f t="shared" si="35"/>
        <v>#DIV/0!</v>
      </c>
      <c r="K424" s="33" t="e">
        <f t="shared" si="32"/>
        <v>#DIV/0!</v>
      </c>
      <c r="L424" s="33">
        <f t="shared" si="33"/>
        <v>0</v>
      </c>
      <c r="M424" s="33" t="e">
        <f t="shared" si="34"/>
        <v>#DIV/0!</v>
      </c>
    </row>
    <row r="425" spans="1:13" ht="63" hidden="1">
      <c r="A425" s="108"/>
      <c r="B425" s="108"/>
      <c r="C425" s="23" t="s">
        <v>65</v>
      </c>
      <c r="D425" s="49" t="s">
        <v>66</v>
      </c>
      <c r="E425" s="33"/>
      <c r="F425" s="33"/>
      <c r="G425" s="33"/>
      <c r="H425" s="33"/>
      <c r="I425" s="33">
        <f t="shared" si="31"/>
        <v>0</v>
      </c>
      <c r="J425" s="33" t="e">
        <f t="shared" si="35"/>
        <v>#DIV/0!</v>
      </c>
      <c r="K425" s="33" t="e">
        <f t="shared" si="32"/>
        <v>#DIV/0!</v>
      </c>
      <c r="L425" s="33">
        <f t="shared" si="33"/>
        <v>0</v>
      </c>
      <c r="M425" s="33" t="e">
        <f t="shared" si="34"/>
        <v>#DIV/0!</v>
      </c>
    </row>
    <row r="426" spans="1:13" ht="15.75" hidden="1">
      <c r="A426" s="108"/>
      <c r="B426" s="108"/>
      <c r="C426" s="23" t="s">
        <v>39</v>
      </c>
      <c r="D426" s="34" t="s">
        <v>40</v>
      </c>
      <c r="E426" s="33"/>
      <c r="F426" s="33"/>
      <c r="G426" s="33"/>
      <c r="H426" s="33"/>
      <c r="I426" s="33">
        <f t="shared" si="31"/>
        <v>0</v>
      </c>
      <c r="J426" s="33" t="e">
        <f t="shared" si="35"/>
        <v>#DIV/0!</v>
      </c>
      <c r="K426" s="33" t="e">
        <f t="shared" si="32"/>
        <v>#DIV/0!</v>
      </c>
      <c r="L426" s="33">
        <f t="shared" si="33"/>
        <v>0</v>
      </c>
      <c r="M426" s="33" t="e">
        <f t="shared" si="34"/>
        <v>#DIV/0!</v>
      </c>
    </row>
    <row r="427" spans="1:13" ht="15.75" hidden="1">
      <c r="A427" s="108"/>
      <c r="B427" s="108"/>
      <c r="C427" s="23" t="s">
        <v>41</v>
      </c>
      <c r="D427" s="34" t="s">
        <v>42</v>
      </c>
      <c r="E427" s="33"/>
      <c r="F427" s="33"/>
      <c r="G427" s="33"/>
      <c r="H427" s="33"/>
      <c r="I427" s="33">
        <f t="shared" si="31"/>
        <v>0</v>
      </c>
      <c r="J427" s="33" t="e">
        <f t="shared" si="35"/>
        <v>#DIV/0!</v>
      </c>
      <c r="K427" s="33" t="e">
        <f t="shared" si="32"/>
        <v>#DIV/0!</v>
      </c>
      <c r="L427" s="33">
        <f t="shared" si="33"/>
        <v>0</v>
      </c>
      <c r="M427" s="33" t="e">
        <f t="shared" si="34"/>
        <v>#DIV/0!</v>
      </c>
    </row>
    <row r="428" spans="1:13" ht="15.75" hidden="1">
      <c r="A428" s="108"/>
      <c r="B428" s="108"/>
      <c r="C428" s="23" t="s">
        <v>59</v>
      </c>
      <c r="D428" s="36" t="s">
        <v>60</v>
      </c>
      <c r="E428" s="33"/>
      <c r="F428" s="33"/>
      <c r="G428" s="33"/>
      <c r="H428" s="33"/>
      <c r="I428" s="33">
        <f t="shared" si="31"/>
        <v>0</v>
      </c>
      <c r="J428" s="33" t="e">
        <f t="shared" si="35"/>
        <v>#DIV/0!</v>
      </c>
      <c r="K428" s="33" t="e">
        <f t="shared" si="32"/>
        <v>#DIV/0!</v>
      </c>
      <c r="L428" s="33">
        <f t="shared" si="33"/>
        <v>0</v>
      </c>
      <c r="M428" s="33" t="e">
        <f t="shared" si="34"/>
        <v>#DIV/0!</v>
      </c>
    </row>
    <row r="429" spans="1:13" s="5" customFormat="1" ht="15.75" hidden="1">
      <c r="A429" s="109"/>
      <c r="B429" s="109"/>
      <c r="C429" s="24"/>
      <c r="D429" s="3" t="s">
        <v>182</v>
      </c>
      <c r="E429" s="8">
        <f>SUM(E421:E424,E426:E428)</f>
        <v>0</v>
      </c>
      <c r="F429" s="8">
        <f>SUM(F421:F424,F426:F428)</f>
        <v>0</v>
      </c>
      <c r="G429" s="8">
        <f>SUM(G421:G424,G426:G428)</f>
        <v>0</v>
      </c>
      <c r="H429" s="8">
        <f>SUM(H421:H424,H426:H428)</f>
        <v>0</v>
      </c>
      <c r="I429" s="8">
        <f t="shared" si="31"/>
        <v>0</v>
      </c>
      <c r="J429" s="8" t="e">
        <f t="shared" si="35"/>
        <v>#DIV/0!</v>
      </c>
      <c r="K429" s="8" t="e">
        <f t="shared" si="32"/>
        <v>#DIV/0!</v>
      </c>
      <c r="L429" s="8">
        <f t="shared" si="33"/>
        <v>0</v>
      </c>
      <c r="M429" s="8" t="e">
        <f t="shared" si="34"/>
        <v>#DIV/0!</v>
      </c>
    </row>
    <row r="430" spans="1:13" s="5" customFormat="1" ht="12" customHeight="1">
      <c r="A430" s="114"/>
      <c r="B430" s="114"/>
      <c r="C430" s="116"/>
      <c r="D430" s="3"/>
      <c r="E430" s="8"/>
      <c r="F430" s="8"/>
      <c r="G430" s="8"/>
      <c r="H430" s="8"/>
      <c r="I430" s="8"/>
      <c r="J430" s="8"/>
      <c r="K430" s="8"/>
      <c r="L430" s="8"/>
      <c r="M430" s="8"/>
    </row>
    <row r="431" spans="1:13" s="5" customFormat="1" ht="21" customHeight="1">
      <c r="A431" s="114"/>
      <c r="B431" s="114"/>
      <c r="C431" s="116"/>
      <c r="D431" s="3" t="s">
        <v>183</v>
      </c>
      <c r="E431" s="8">
        <f>E446+E461</f>
        <v>8964252.899999999</v>
      </c>
      <c r="F431" s="8">
        <f>F446+F461</f>
        <v>17414833.8</v>
      </c>
      <c r="G431" s="8">
        <f>G446+G461</f>
        <v>9491926.7</v>
      </c>
      <c r="H431" s="8">
        <f>H446+H461</f>
        <v>9380414.799999999</v>
      </c>
      <c r="I431" s="8">
        <f t="shared" si="31"/>
        <v>-111511.90000000037</v>
      </c>
      <c r="J431" s="8">
        <f t="shared" si="35"/>
        <v>98.82519214987195</v>
      </c>
      <c r="K431" s="8">
        <f t="shared" si="32"/>
        <v>53.86450946204263</v>
      </c>
      <c r="L431" s="8">
        <f t="shared" si="33"/>
        <v>416161.9000000004</v>
      </c>
      <c r="M431" s="8">
        <f t="shared" si="34"/>
        <v>104.64246049997095</v>
      </c>
    </row>
    <row r="432" spans="1:13" s="5" customFormat="1" ht="12" customHeight="1">
      <c r="A432" s="114"/>
      <c r="B432" s="114"/>
      <c r="C432" s="116"/>
      <c r="D432" s="10"/>
      <c r="E432" s="8"/>
      <c r="F432" s="8"/>
      <c r="G432" s="8"/>
      <c r="H432" s="8"/>
      <c r="I432" s="8"/>
      <c r="J432" s="8"/>
      <c r="K432" s="8"/>
      <c r="L432" s="8"/>
      <c r="M432" s="8"/>
    </row>
    <row r="433" spans="1:13" s="5" customFormat="1" ht="31.5">
      <c r="A433" s="114"/>
      <c r="B433" s="114"/>
      <c r="C433" s="116"/>
      <c r="D433" s="10" t="s">
        <v>184</v>
      </c>
      <c r="E433" s="8">
        <f>E435-E506</f>
        <v>10922217.5</v>
      </c>
      <c r="F433" s="8">
        <f>F435-F506</f>
        <v>22430229.900000002</v>
      </c>
      <c r="G433" s="8">
        <f>G435-G506</f>
        <v>11833748.800000003</v>
      </c>
      <c r="H433" s="8">
        <f>H435-H506</f>
        <v>11593494.5</v>
      </c>
      <c r="I433" s="8">
        <f t="shared" si="31"/>
        <v>-240254.3000000026</v>
      </c>
      <c r="J433" s="8">
        <f t="shared" si="35"/>
        <v>97.96975325350829</v>
      </c>
      <c r="K433" s="8">
        <f t="shared" si="32"/>
        <v>51.686917841176474</v>
      </c>
      <c r="L433" s="8">
        <f t="shared" si="33"/>
        <v>671277</v>
      </c>
      <c r="M433" s="8">
        <f t="shared" si="34"/>
        <v>106.14597722486299</v>
      </c>
    </row>
    <row r="434" spans="1:13" s="5" customFormat="1" ht="12" customHeight="1">
      <c r="A434" s="114"/>
      <c r="B434" s="114"/>
      <c r="C434" s="116"/>
      <c r="D434" s="10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9.5" customHeight="1">
      <c r="A435" s="114"/>
      <c r="B435" s="114"/>
      <c r="C435" s="116"/>
      <c r="D435" s="10" t="s">
        <v>206</v>
      </c>
      <c r="E435" s="11">
        <f>E27+E50+E65+E70+E87+E104+E122+E127+E140+E152+E165+E177+E190+E202+E213+E226+E238+E255+E268+E279+E294+E308+E316+E336+E354+E364+E377+E387+E391+E404+E420+E429</f>
        <v>10786694</v>
      </c>
      <c r="F435" s="11">
        <f>F27+F50+F65+F70+F87+F104+F122+F127+F140+F152+F165+F177+F190+F202+F213+F226+F238+F255+F268+F279+F294+F308+F316+F336+F354+F364+F377+F387+F391+F404+F420+F429</f>
        <v>22430229.900000002</v>
      </c>
      <c r="G435" s="11">
        <f>G27+G50+G65+G70+G87+G104+G122+G127+G140+G152+G165+G177+G190+G202+G213+G226+G238+G255+G268+G279+G294+G308+G316+G336+G354+G364+G377+G387+G391+G404+G420+G429</f>
        <v>11833748.800000003</v>
      </c>
      <c r="H435" s="11">
        <f>H27+H50+H65+H70+H87+H104+H122+H127+H140+H152+H165+H177+H190+H202+H213+H226+H238+H255+H268+H279+H294+H308+H316+H336+H354+H364+H377+H387+H391+H404+H420+H429</f>
        <v>11496264.2</v>
      </c>
      <c r="I435" s="11">
        <f t="shared" si="31"/>
        <v>-337484.60000000335</v>
      </c>
      <c r="J435" s="11">
        <f t="shared" si="35"/>
        <v>97.14811759397831</v>
      </c>
      <c r="K435" s="11">
        <f t="shared" si="32"/>
        <v>51.253439002869946</v>
      </c>
      <c r="L435" s="11">
        <f t="shared" si="33"/>
        <v>709570.1999999993</v>
      </c>
      <c r="M435" s="11">
        <f t="shared" si="34"/>
        <v>106.57819902928551</v>
      </c>
    </row>
    <row r="436" spans="1:13" s="5" customFormat="1" ht="31.5" customHeight="1" hidden="1">
      <c r="A436" s="32"/>
      <c r="B436" s="32"/>
      <c r="C436" s="25"/>
      <c r="D436" s="3" t="s">
        <v>185</v>
      </c>
      <c r="E436" s="11">
        <f>E438</f>
        <v>0</v>
      </c>
      <c r="F436" s="11">
        <f>F438</f>
        <v>0</v>
      </c>
      <c r="G436" s="11">
        <f>G438</f>
        <v>0</v>
      </c>
      <c r="H436" s="11">
        <f>H438</f>
        <v>0</v>
      </c>
      <c r="I436" s="33">
        <f t="shared" si="31"/>
        <v>0</v>
      </c>
      <c r="J436" s="33" t="e">
        <f t="shared" si="35"/>
        <v>#DIV/0!</v>
      </c>
      <c r="K436" s="33" t="e">
        <f t="shared" si="32"/>
        <v>#DIV/0!</v>
      </c>
      <c r="L436" s="33">
        <f t="shared" si="33"/>
        <v>0</v>
      </c>
      <c r="M436" s="33" t="e">
        <f t="shared" si="34"/>
        <v>#DIV/0!</v>
      </c>
    </row>
    <row r="437" spans="1:13" ht="31.5" hidden="1">
      <c r="A437" s="100" t="s">
        <v>8</v>
      </c>
      <c r="B437" s="103" t="s">
        <v>9</v>
      </c>
      <c r="C437" s="22" t="s">
        <v>186</v>
      </c>
      <c r="D437" s="36" t="s">
        <v>187</v>
      </c>
      <c r="E437" s="54"/>
      <c r="F437" s="54"/>
      <c r="G437" s="54"/>
      <c r="H437" s="54"/>
      <c r="I437" s="33">
        <f t="shared" si="31"/>
        <v>0</v>
      </c>
      <c r="J437" s="33" t="e">
        <f t="shared" si="35"/>
        <v>#DIV/0!</v>
      </c>
      <c r="K437" s="33" t="e">
        <f t="shared" si="32"/>
        <v>#DIV/0!</v>
      </c>
      <c r="L437" s="33">
        <f t="shared" si="33"/>
        <v>0</v>
      </c>
      <c r="M437" s="33" t="e">
        <f t="shared" si="34"/>
        <v>#DIV/0!</v>
      </c>
    </row>
    <row r="438" spans="1:13" s="5" customFormat="1" ht="15.75" hidden="1">
      <c r="A438" s="109"/>
      <c r="B438" s="109"/>
      <c r="C438" s="25"/>
      <c r="D438" s="3" t="s">
        <v>182</v>
      </c>
      <c r="E438" s="11">
        <f>SUM(E437:E437)</f>
        <v>0</v>
      </c>
      <c r="F438" s="11">
        <f>SUM(F437:F437)</f>
        <v>0</v>
      </c>
      <c r="G438" s="11">
        <f>SUM(G437:G437)</f>
        <v>0</v>
      </c>
      <c r="H438" s="11">
        <f>SUM(H437:H437)</f>
        <v>0</v>
      </c>
      <c r="I438" s="33">
        <f t="shared" si="31"/>
        <v>0</v>
      </c>
      <c r="J438" s="33" t="e">
        <f t="shared" si="35"/>
        <v>#DIV/0!</v>
      </c>
      <c r="K438" s="33" t="e">
        <f t="shared" si="32"/>
        <v>#DIV/0!</v>
      </c>
      <c r="L438" s="33">
        <f t="shared" si="33"/>
        <v>0</v>
      </c>
      <c r="M438" s="33" t="e">
        <f t="shared" si="34"/>
        <v>#DIV/0!</v>
      </c>
    </row>
    <row r="439" spans="1:11" ht="13.5" customHeight="1">
      <c r="A439" s="12"/>
      <c r="B439" s="12"/>
      <c r="C439" s="29"/>
      <c r="D439" s="2"/>
      <c r="E439" s="57"/>
      <c r="F439" s="57"/>
      <c r="G439" s="57"/>
      <c r="H439" s="57"/>
      <c r="I439" s="58"/>
      <c r="J439" s="58"/>
      <c r="K439" s="58"/>
    </row>
    <row r="440" spans="1:11" ht="13.5" customHeight="1" hidden="1">
      <c r="A440" s="12"/>
      <c r="B440" s="12"/>
      <c r="C440" s="29"/>
      <c r="D440" s="2" t="s">
        <v>188</v>
      </c>
      <c r="E440" s="117"/>
      <c r="F440" s="118"/>
      <c r="G440" s="118"/>
      <c r="H440" s="118"/>
      <c r="I440" s="120"/>
      <c r="J440" s="122"/>
      <c r="K440" s="122"/>
    </row>
    <row r="441" spans="1:11" ht="15.75" hidden="1">
      <c r="A441" s="12"/>
      <c r="B441" s="12"/>
      <c r="C441" s="29"/>
      <c r="D441" s="2"/>
      <c r="E441" s="117"/>
      <c r="F441" s="119"/>
      <c r="G441" s="119"/>
      <c r="H441" s="119"/>
      <c r="I441" s="121"/>
      <c r="J441" s="121"/>
      <c r="K441" s="121"/>
    </row>
    <row r="442" spans="1:11" ht="15.75" hidden="1">
      <c r="A442" s="123" t="s">
        <v>218</v>
      </c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3" ht="15.75" hidden="1">
      <c r="B443" s="1"/>
      <c r="C443" s="1"/>
      <c r="D443" s="1"/>
      <c r="E443" s="13"/>
      <c r="F443" s="13"/>
      <c r="G443" s="13"/>
      <c r="H443" s="13"/>
      <c r="K443" s="41"/>
      <c r="M443" s="41" t="s">
        <v>0</v>
      </c>
    </row>
    <row r="444" spans="1:13" ht="62.25" customHeight="1" hidden="1">
      <c r="A444" s="90" t="s">
        <v>1</v>
      </c>
      <c r="B444" s="91" t="s">
        <v>2</v>
      </c>
      <c r="C444" s="90" t="s">
        <v>3</v>
      </c>
      <c r="D444" s="91" t="s">
        <v>4</v>
      </c>
      <c r="E444" s="92" t="s">
        <v>215</v>
      </c>
      <c r="F444" s="94" t="s">
        <v>208</v>
      </c>
      <c r="G444" s="94" t="s">
        <v>216</v>
      </c>
      <c r="H444" s="94" t="s">
        <v>217</v>
      </c>
      <c r="I444" s="96" t="s">
        <v>220</v>
      </c>
      <c r="J444" s="91" t="s">
        <v>219</v>
      </c>
      <c r="K444" s="98" t="s">
        <v>5</v>
      </c>
      <c r="L444" s="96" t="s">
        <v>6</v>
      </c>
      <c r="M444" s="91" t="s">
        <v>7</v>
      </c>
    </row>
    <row r="445" spans="1:13" ht="37.5" customHeight="1" hidden="1">
      <c r="A445" s="90"/>
      <c r="B445" s="91"/>
      <c r="C445" s="90"/>
      <c r="D445" s="91"/>
      <c r="E445" s="93"/>
      <c r="F445" s="95"/>
      <c r="G445" s="95"/>
      <c r="H445" s="95"/>
      <c r="I445" s="97"/>
      <c r="J445" s="97"/>
      <c r="K445" s="99"/>
      <c r="L445" s="97"/>
      <c r="M445" s="97"/>
    </row>
    <row r="446" spans="1:13" s="5" customFormat="1" ht="15.75" hidden="1">
      <c r="A446" s="111"/>
      <c r="B446" s="111"/>
      <c r="C446" s="24"/>
      <c r="D446" s="3" t="s">
        <v>189</v>
      </c>
      <c r="E446" s="8">
        <f>SUM(E460,E447:E454)</f>
        <v>7868411.699999999</v>
      </c>
      <c r="F446" s="8">
        <f>SUM(F460,F447:F454)</f>
        <v>14770674.8</v>
      </c>
      <c r="G446" s="8">
        <f>SUM(G460,G447:G454)</f>
        <v>8181295.2</v>
      </c>
      <c r="H446" s="8">
        <f>SUM(H460,H447:H454)</f>
        <v>8130848.3</v>
      </c>
      <c r="I446" s="4">
        <f>H446-G446</f>
        <v>-50446.90000000037</v>
      </c>
      <c r="J446" s="4">
        <f>H446/G446*100</f>
        <v>99.38338736389808</v>
      </c>
      <c r="K446" s="4">
        <f>H446/F446*100</f>
        <v>55.047236569042866</v>
      </c>
      <c r="L446" s="4">
        <f>H446-E446</f>
        <v>262436.60000000056</v>
      </c>
      <c r="M446" s="4">
        <f>H446/E446*100</f>
        <v>103.33531861328507</v>
      </c>
    </row>
    <row r="447" spans="1:13" ht="15.75" hidden="1">
      <c r="A447" s="111"/>
      <c r="B447" s="111"/>
      <c r="C447" s="23" t="s">
        <v>132</v>
      </c>
      <c r="D447" s="34" t="s">
        <v>133</v>
      </c>
      <c r="E447" s="52">
        <f aca="true" t="shared" si="36" ref="E447:H453">SUMIF($C$6:$C$437,$C447,E$6:E$437)</f>
        <v>3441988.8</v>
      </c>
      <c r="F447" s="52">
        <f t="shared" si="36"/>
        <v>6832068.800000001</v>
      </c>
      <c r="G447" s="52">
        <f t="shared" si="36"/>
        <v>3740840.6</v>
      </c>
      <c r="H447" s="52">
        <f t="shared" si="36"/>
        <v>3949362.1999999997</v>
      </c>
      <c r="I447" s="33">
        <f>H447-G447</f>
        <v>208521.59999999963</v>
      </c>
      <c r="J447" s="33">
        <f>H447/G447*100</f>
        <v>105.57419099867553</v>
      </c>
      <c r="K447" s="33">
        <f>H447/F447*100</f>
        <v>57.80624164674687</v>
      </c>
      <c r="L447" s="33">
        <f>H447-E447</f>
        <v>507373.3999999999</v>
      </c>
      <c r="M447" s="33">
        <f>H447/E447*100</f>
        <v>114.74070456010782</v>
      </c>
    </row>
    <row r="448" spans="1:13" ht="15.75" hidden="1">
      <c r="A448" s="111"/>
      <c r="B448" s="111"/>
      <c r="C448" s="23" t="s">
        <v>210</v>
      </c>
      <c r="D448" s="34" t="s">
        <v>209</v>
      </c>
      <c r="E448" s="52">
        <f t="shared" si="36"/>
        <v>306891.6</v>
      </c>
      <c r="F448" s="52">
        <f t="shared" si="36"/>
        <v>483544</v>
      </c>
      <c r="G448" s="52">
        <f t="shared" si="36"/>
        <v>339204.1</v>
      </c>
      <c r="H448" s="52">
        <f t="shared" si="36"/>
        <v>334795.4</v>
      </c>
      <c r="I448" s="33">
        <f>H448-G448</f>
        <v>-4408.699999999953</v>
      </c>
      <c r="J448" s="33">
        <f>H448/G448*100</f>
        <v>98.70028104023508</v>
      </c>
      <c r="K448" s="33">
        <f>H448/F448*100</f>
        <v>69.23783564680774</v>
      </c>
      <c r="L448" s="33">
        <f>H448-E448</f>
        <v>27903.800000000047</v>
      </c>
      <c r="M448" s="33">
        <f>H448/E448*100</f>
        <v>109.09239614248159</v>
      </c>
    </row>
    <row r="449" spans="1:13" ht="15.75" hidden="1">
      <c r="A449" s="111"/>
      <c r="B449" s="111"/>
      <c r="C449" s="23" t="s">
        <v>211</v>
      </c>
      <c r="D449" s="34" t="s">
        <v>155</v>
      </c>
      <c r="E449" s="52">
        <f t="shared" si="36"/>
        <v>540.9</v>
      </c>
      <c r="F449" s="52">
        <f t="shared" si="36"/>
        <v>652.7</v>
      </c>
      <c r="G449" s="52">
        <f t="shared" si="36"/>
        <v>598.8</v>
      </c>
      <c r="H449" s="52">
        <f t="shared" si="36"/>
        <v>772</v>
      </c>
      <c r="I449" s="33">
        <f aca="true" t="shared" si="37" ref="I449:I460">H449-G449</f>
        <v>173.20000000000005</v>
      </c>
      <c r="J449" s="33">
        <f aca="true" t="shared" si="38" ref="J449:J454">H449/G449*100</f>
        <v>128.9245156980628</v>
      </c>
      <c r="K449" s="33">
        <f aca="true" t="shared" si="39" ref="K449:K454">H449/F449*100</f>
        <v>118.27792247586946</v>
      </c>
      <c r="L449" s="33">
        <f aca="true" t="shared" si="40" ref="L449:L460">H449-E449</f>
        <v>231.10000000000002</v>
      </c>
      <c r="M449" s="33">
        <f aca="true" t="shared" si="41" ref="M449:M460">H449/E449*100</f>
        <v>142.72508781660196</v>
      </c>
    </row>
    <row r="450" spans="1:13" ht="15.75" hidden="1">
      <c r="A450" s="111"/>
      <c r="B450" s="111"/>
      <c r="C450" s="23" t="s">
        <v>171</v>
      </c>
      <c r="D450" s="34" t="s">
        <v>172</v>
      </c>
      <c r="E450" s="52">
        <f t="shared" si="36"/>
        <v>56133.5</v>
      </c>
      <c r="F450" s="52">
        <f t="shared" si="36"/>
        <v>53346</v>
      </c>
      <c r="G450" s="52">
        <f t="shared" si="36"/>
        <v>33719.1</v>
      </c>
      <c r="H450" s="52">
        <f t="shared" si="36"/>
        <v>41876.3</v>
      </c>
      <c r="I450" s="33">
        <f t="shared" si="37"/>
        <v>8157.200000000004</v>
      </c>
      <c r="J450" s="33">
        <f t="shared" si="38"/>
        <v>124.1916302629667</v>
      </c>
      <c r="K450" s="33">
        <f t="shared" si="39"/>
        <v>78.4994188880141</v>
      </c>
      <c r="L450" s="33">
        <f t="shared" si="40"/>
        <v>-14257.199999999997</v>
      </c>
      <c r="M450" s="33">
        <f t="shared" si="41"/>
        <v>74.60126306038283</v>
      </c>
    </row>
    <row r="451" spans="1:13" ht="15.75" hidden="1">
      <c r="A451" s="111"/>
      <c r="B451" s="111"/>
      <c r="C451" s="23" t="s">
        <v>45</v>
      </c>
      <c r="D451" s="50" t="s">
        <v>46</v>
      </c>
      <c r="E451" s="52">
        <f t="shared" si="36"/>
        <v>1524036.9</v>
      </c>
      <c r="F451" s="52">
        <f t="shared" si="36"/>
        <v>2752050.4</v>
      </c>
      <c r="G451" s="52">
        <f t="shared" si="36"/>
        <v>1676824.3</v>
      </c>
      <c r="H451" s="52">
        <f t="shared" si="36"/>
        <v>1468214.8</v>
      </c>
      <c r="I451" s="33">
        <f t="shared" si="37"/>
        <v>-208609.5</v>
      </c>
      <c r="J451" s="33">
        <f t="shared" si="38"/>
        <v>87.55925113919211</v>
      </c>
      <c r="K451" s="33">
        <f t="shared" si="39"/>
        <v>53.349851441674176</v>
      </c>
      <c r="L451" s="33">
        <f t="shared" si="40"/>
        <v>-55822.09999999986</v>
      </c>
      <c r="M451" s="33">
        <f t="shared" si="41"/>
        <v>96.33722123132321</v>
      </c>
    </row>
    <row r="452" spans="1:13" ht="15.75" hidden="1">
      <c r="A452" s="111"/>
      <c r="B452" s="111"/>
      <c r="C452" s="23" t="s">
        <v>124</v>
      </c>
      <c r="D452" s="50" t="s">
        <v>125</v>
      </c>
      <c r="E452" s="52">
        <f t="shared" si="36"/>
        <v>402124.2</v>
      </c>
      <c r="F452" s="52">
        <f t="shared" si="36"/>
        <v>902073.3999999999</v>
      </c>
      <c r="G452" s="52">
        <f t="shared" si="36"/>
        <v>181824.7</v>
      </c>
      <c r="H452" s="52">
        <f t="shared" si="36"/>
        <v>150697.90000000002</v>
      </c>
      <c r="I452" s="33">
        <f t="shared" si="37"/>
        <v>-31126.79999999999</v>
      </c>
      <c r="J452" s="33">
        <f t="shared" si="38"/>
        <v>82.88087372067712</v>
      </c>
      <c r="K452" s="33">
        <f t="shared" si="39"/>
        <v>16.70572483347808</v>
      </c>
      <c r="L452" s="33">
        <f t="shared" si="40"/>
        <v>-251426.3</v>
      </c>
      <c r="M452" s="33">
        <f t="shared" si="41"/>
        <v>37.4754615613783</v>
      </c>
    </row>
    <row r="453" spans="1:13" ht="15.75" hidden="1">
      <c r="A453" s="111"/>
      <c r="B453" s="111"/>
      <c r="C453" s="23" t="s">
        <v>173</v>
      </c>
      <c r="D453" s="34" t="s">
        <v>174</v>
      </c>
      <c r="E453" s="52">
        <f t="shared" si="36"/>
        <v>1923891.7</v>
      </c>
      <c r="F453" s="52">
        <f t="shared" si="36"/>
        <v>3404485</v>
      </c>
      <c r="G453" s="52">
        <f t="shared" si="36"/>
        <v>2022865.8</v>
      </c>
      <c r="H453" s="52">
        <f t="shared" si="36"/>
        <v>1991835.4</v>
      </c>
      <c r="I453" s="33">
        <f t="shared" si="37"/>
        <v>-31030.40000000014</v>
      </c>
      <c r="J453" s="33">
        <f t="shared" si="38"/>
        <v>98.46601786435856</v>
      </c>
      <c r="K453" s="33">
        <f t="shared" si="39"/>
        <v>58.50621753363578</v>
      </c>
      <c r="L453" s="33">
        <f t="shared" si="40"/>
        <v>67943.69999999995</v>
      </c>
      <c r="M453" s="33">
        <f t="shared" si="41"/>
        <v>103.53157612769992</v>
      </c>
    </row>
    <row r="454" spans="1:13" ht="15.75" hidden="1">
      <c r="A454" s="111"/>
      <c r="B454" s="111"/>
      <c r="C454" s="28" t="s">
        <v>190</v>
      </c>
      <c r="D454" s="34" t="s">
        <v>191</v>
      </c>
      <c r="E454" s="52">
        <f>SUM(E455:E459)</f>
        <v>189297.6</v>
      </c>
      <c r="F454" s="52">
        <f>SUM(F455:F459)</f>
        <v>342454.5</v>
      </c>
      <c r="G454" s="52">
        <f>SUM(G455:G459)</f>
        <v>185417.8</v>
      </c>
      <c r="H454" s="52">
        <f>SUM(H455:H459)</f>
        <v>192839.80000000002</v>
      </c>
      <c r="I454" s="33">
        <f t="shared" si="37"/>
        <v>7422.000000000029</v>
      </c>
      <c r="J454" s="33">
        <f t="shared" si="38"/>
        <v>104.00285193762413</v>
      </c>
      <c r="K454" s="33">
        <f t="shared" si="39"/>
        <v>56.31107198182532</v>
      </c>
      <c r="L454" s="33">
        <f t="shared" si="40"/>
        <v>3542.2000000000116</v>
      </c>
      <c r="M454" s="33">
        <f t="shared" si="41"/>
        <v>101.87123344405846</v>
      </c>
    </row>
    <row r="455" spans="1:13" ht="47.25" hidden="1">
      <c r="A455" s="111"/>
      <c r="B455" s="111"/>
      <c r="C455" s="23" t="s">
        <v>212</v>
      </c>
      <c r="D455" s="51" t="s">
        <v>213</v>
      </c>
      <c r="E455" s="52">
        <f aca="true" t="shared" si="42" ref="E455:H460">SUMIF($C$6:$C$437,$C455,E$6:E$437)</f>
        <v>0</v>
      </c>
      <c r="F455" s="52">
        <f t="shared" si="42"/>
        <v>0</v>
      </c>
      <c r="G455" s="52">
        <f t="shared" si="42"/>
        <v>0</v>
      </c>
      <c r="H455" s="52">
        <f t="shared" si="42"/>
        <v>2.8</v>
      </c>
      <c r="I455" s="33">
        <f t="shared" si="37"/>
        <v>2.8</v>
      </c>
      <c r="J455" s="33" t="e">
        <f>H455/G455*100</f>
        <v>#DIV/0!</v>
      </c>
      <c r="K455" s="33" t="e">
        <f>H455/F455*100</f>
        <v>#DIV/0!</v>
      </c>
      <c r="L455" s="33">
        <f t="shared" si="40"/>
        <v>2.8</v>
      </c>
      <c r="M455" s="33" t="e">
        <f t="shared" si="41"/>
        <v>#DIV/0!</v>
      </c>
    </row>
    <row r="456" spans="1:13" ht="15.75" hidden="1">
      <c r="A456" s="111"/>
      <c r="B456" s="111"/>
      <c r="C456" s="23" t="s">
        <v>141</v>
      </c>
      <c r="D456" s="34" t="s">
        <v>142</v>
      </c>
      <c r="E456" s="52">
        <f t="shared" si="42"/>
        <v>88508.8</v>
      </c>
      <c r="F456" s="52">
        <f t="shared" si="42"/>
        <v>153134.7</v>
      </c>
      <c r="G456" s="52">
        <f t="shared" si="42"/>
        <v>78443.3</v>
      </c>
      <c r="H456" s="52">
        <f t="shared" si="42"/>
        <v>68384.5</v>
      </c>
      <c r="I456" s="33">
        <f t="shared" si="37"/>
        <v>-10058.800000000003</v>
      </c>
      <c r="J456" s="33">
        <f>H456/G456*100</f>
        <v>87.17698006075726</v>
      </c>
      <c r="K456" s="33">
        <f>H456/F456*100</f>
        <v>44.656436457576234</v>
      </c>
      <c r="L456" s="33">
        <f t="shared" si="40"/>
        <v>-20124.300000000003</v>
      </c>
      <c r="M456" s="33">
        <f t="shared" si="41"/>
        <v>77.26293882642177</v>
      </c>
    </row>
    <row r="457" spans="1:13" ht="110.25" hidden="1">
      <c r="A457" s="111"/>
      <c r="B457" s="111"/>
      <c r="C457" s="26" t="s">
        <v>61</v>
      </c>
      <c r="D457" s="51" t="s">
        <v>62</v>
      </c>
      <c r="E457" s="52">
        <f t="shared" si="42"/>
        <v>571</v>
      </c>
      <c r="F457" s="52">
        <f t="shared" si="42"/>
        <v>693</v>
      </c>
      <c r="G457" s="52">
        <f t="shared" si="42"/>
        <v>386.9</v>
      </c>
      <c r="H457" s="52">
        <f t="shared" si="42"/>
        <v>584.5</v>
      </c>
      <c r="I457" s="33">
        <f t="shared" si="37"/>
        <v>197.60000000000002</v>
      </c>
      <c r="J457" s="33">
        <f>H457/G457*100</f>
        <v>151.072628586198</v>
      </c>
      <c r="K457" s="33">
        <f>H457/F457*100</f>
        <v>84.34343434343434</v>
      </c>
      <c r="L457" s="33">
        <f t="shared" si="40"/>
        <v>13.5</v>
      </c>
      <c r="M457" s="33">
        <f t="shared" si="41"/>
        <v>102.36427320490368</v>
      </c>
    </row>
    <row r="458" spans="1:13" ht="15.75" hidden="1">
      <c r="A458" s="111"/>
      <c r="B458" s="111"/>
      <c r="C458" s="23" t="s">
        <v>126</v>
      </c>
      <c r="D458" s="34" t="s">
        <v>127</v>
      </c>
      <c r="E458" s="52">
        <f t="shared" si="42"/>
        <v>99878.8</v>
      </c>
      <c r="F458" s="52">
        <f t="shared" si="42"/>
        <v>187783.8</v>
      </c>
      <c r="G458" s="52">
        <f t="shared" si="42"/>
        <v>106119.6</v>
      </c>
      <c r="H458" s="52">
        <f t="shared" si="42"/>
        <v>123705.9</v>
      </c>
      <c r="I458" s="33">
        <f t="shared" si="37"/>
        <v>17586.29999999999</v>
      </c>
      <c r="J458" s="33">
        <f>H458/G458*100</f>
        <v>116.57215066773713</v>
      </c>
      <c r="K458" s="33">
        <f>H458/F458*100</f>
        <v>65.87676892255881</v>
      </c>
      <c r="L458" s="33">
        <f t="shared" si="40"/>
        <v>23827.09999999999</v>
      </c>
      <c r="M458" s="33">
        <f t="shared" si="41"/>
        <v>123.85601348834787</v>
      </c>
    </row>
    <row r="459" spans="1:13" ht="31.5" hidden="1">
      <c r="A459" s="111"/>
      <c r="B459" s="111"/>
      <c r="C459" s="23" t="s">
        <v>151</v>
      </c>
      <c r="D459" s="34" t="s">
        <v>152</v>
      </c>
      <c r="E459" s="52">
        <f t="shared" si="42"/>
        <v>339</v>
      </c>
      <c r="F459" s="52">
        <f t="shared" si="42"/>
        <v>843</v>
      </c>
      <c r="G459" s="52">
        <f t="shared" si="42"/>
        <v>468</v>
      </c>
      <c r="H459" s="52">
        <f t="shared" si="42"/>
        <v>162.1</v>
      </c>
      <c r="I459" s="33">
        <f t="shared" si="37"/>
        <v>-305.9</v>
      </c>
      <c r="J459" s="33">
        <f>H459/G459*100</f>
        <v>34.636752136752136</v>
      </c>
      <c r="K459" s="33">
        <f>H459/F459*100</f>
        <v>19.22894424673784</v>
      </c>
      <c r="L459" s="33">
        <f t="shared" si="40"/>
        <v>-176.9</v>
      </c>
      <c r="M459" s="33">
        <f t="shared" si="41"/>
        <v>47.81710914454277</v>
      </c>
    </row>
    <row r="460" spans="1:13" ht="15.75" hidden="1">
      <c r="A460" s="111"/>
      <c r="B460" s="111"/>
      <c r="C460" s="23" t="s">
        <v>63</v>
      </c>
      <c r="D460" s="34" t="s">
        <v>64</v>
      </c>
      <c r="E460" s="52">
        <f t="shared" si="42"/>
        <v>23506.5</v>
      </c>
      <c r="F460" s="52">
        <f t="shared" si="42"/>
        <v>0</v>
      </c>
      <c r="G460" s="52">
        <f t="shared" si="42"/>
        <v>0</v>
      </c>
      <c r="H460" s="52">
        <f t="shared" si="42"/>
        <v>454.5</v>
      </c>
      <c r="I460" s="33">
        <f t="shared" si="37"/>
        <v>454.5</v>
      </c>
      <c r="J460" s="33"/>
      <c r="K460" s="33"/>
      <c r="L460" s="33">
        <f t="shared" si="40"/>
        <v>-23052</v>
      </c>
      <c r="M460" s="33">
        <f t="shared" si="41"/>
        <v>1.9335077531746538</v>
      </c>
    </row>
    <row r="461" spans="1:13" s="5" customFormat="1" ht="15.75" hidden="1">
      <c r="A461" s="111"/>
      <c r="B461" s="111"/>
      <c r="C461" s="24"/>
      <c r="D461" s="3" t="s">
        <v>192</v>
      </c>
      <c r="E461" s="8">
        <f>SUM(E462:E474,E495:E496)</f>
        <v>1095841.2000000002</v>
      </c>
      <c r="F461" s="8">
        <f>SUM(F462:F474,F495:F496)</f>
        <v>2644158.999999999</v>
      </c>
      <c r="G461" s="8">
        <f>SUM(G462:G474,G495:G496)</f>
        <v>1310631.5</v>
      </c>
      <c r="H461" s="8">
        <f>SUM(H462:H474,H495:H496)</f>
        <v>1249566.4999999998</v>
      </c>
      <c r="I461" s="4">
        <f>H461-G461</f>
        <v>-61065.00000000023</v>
      </c>
      <c r="J461" s="4">
        <f>H461/G461*100</f>
        <v>95.340795639354</v>
      </c>
      <c r="K461" s="4">
        <f aca="true" t="shared" si="43" ref="K461:K470">H461/F461*100</f>
        <v>47.25761574852345</v>
      </c>
      <c r="L461" s="4">
        <f>H461-E461</f>
        <v>153725.29999999958</v>
      </c>
      <c r="M461" s="4">
        <f>H461/E461*100</f>
        <v>114.02806355519391</v>
      </c>
    </row>
    <row r="462" spans="1:13" ht="15.75" hidden="1">
      <c r="A462" s="111"/>
      <c r="B462" s="111"/>
      <c r="C462" s="23" t="s">
        <v>10</v>
      </c>
      <c r="D462" s="34" t="s">
        <v>11</v>
      </c>
      <c r="E462" s="52">
        <f aca="true" t="shared" si="44" ref="E462:H481">SUMIF($C$6:$C$437,$C462,E$6:E$437)</f>
        <v>576.7</v>
      </c>
      <c r="F462" s="52">
        <f t="shared" si="44"/>
        <v>433.9</v>
      </c>
      <c r="G462" s="52">
        <f t="shared" si="44"/>
        <v>433.9</v>
      </c>
      <c r="H462" s="52">
        <f t="shared" si="44"/>
        <v>842.7</v>
      </c>
      <c r="I462" s="33">
        <f>H462-G462</f>
        <v>408.80000000000007</v>
      </c>
      <c r="J462" s="33"/>
      <c r="K462" s="33">
        <f t="shared" si="43"/>
        <v>194.21525697165248</v>
      </c>
      <c r="L462" s="33">
        <f>H462-E462</f>
        <v>266</v>
      </c>
      <c r="M462" s="33"/>
    </row>
    <row r="463" spans="1:13" ht="78.75" hidden="1">
      <c r="A463" s="111"/>
      <c r="B463" s="111"/>
      <c r="C463" s="22" t="s">
        <v>12</v>
      </c>
      <c r="D463" s="45" t="s">
        <v>193</v>
      </c>
      <c r="E463" s="52">
        <f t="shared" si="44"/>
        <v>228804.40000000002</v>
      </c>
      <c r="F463" s="52">
        <f t="shared" si="44"/>
        <v>405179.2</v>
      </c>
      <c r="G463" s="52">
        <f t="shared" si="44"/>
        <v>186068.9</v>
      </c>
      <c r="H463" s="52">
        <f t="shared" si="44"/>
        <v>278650.7</v>
      </c>
      <c r="I463" s="33">
        <f>H463-G463</f>
        <v>92581.80000000002</v>
      </c>
      <c r="J463" s="33">
        <f aca="true" t="shared" si="45" ref="J463:J469">H463/G463*100</f>
        <v>149.7567298995157</v>
      </c>
      <c r="K463" s="33">
        <f t="shared" si="43"/>
        <v>68.77221239392348</v>
      </c>
      <c r="L463" s="33">
        <f>H463-E463</f>
        <v>49846.29999999999</v>
      </c>
      <c r="M463" s="33">
        <f>H463/E463*100</f>
        <v>121.78555132681015</v>
      </c>
    </row>
    <row r="464" spans="1:13" ht="31.5" hidden="1">
      <c r="A464" s="111"/>
      <c r="B464" s="111"/>
      <c r="C464" s="23" t="s">
        <v>169</v>
      </c>
      <c r="D464" s="34" t="s">
        <v>170</v>
      </c>
      <c r="E464" s="52">
        <f t="shared" si="44"/>
        <v>17198</v>
      </c>
      <c r="F464" s="52">
        <f t="shared" si="44"/>
        <v>37924.1</v>
      </c>
      <c r="G464" s="52">
        <f t="shared" si="44"/>
        <v>12900</v>
      </c>
      <c r="H464" s="52">
        <f t="shared" si="44"/>
        <v>15668.6</v>
      </c>
      <c r="I464" s="33">
        <f aca="true" t="shared" si="46" ref="I464:I510">H464-G464</f>
        <v>2768.6000000000004</v>
      </c>
      <c r="J464" s="33">
        <f t="shared" si="45"/>
        <v>121.46201550387596</v>
      </c>
      <c r="K464" s="33">
        <f t="shared" si="43"/>
        <v>41.31568053032241</v>
      </c>
      <c r="L464" s="33">
        <f aca="true" t="shared" si="47" ref="L464:L510">H464-E464</f>
        <v>-1529.3999999999996</v>
      </c>
      <c r="M464" s="33">
        <f aca="true" t="shared" si="48" ref="M464:M510">H464/E464*100</f>
        <v>91.10710547738108</v>
      </c>
    </row>
    <row r="465" spans="1:13" ht="15.75" hidden="1">
      <c r="A465" s="111"/>
      <c r="B465" s="111"/>
      <c r="C465" s="23" t="s">
        <v>14</v>
      </c>
      <c r="D465" s="46" t="s">
        <v>153</v>
      </c>
      <c r="E465" s="52">
        <f t="shared" si="44"/>
        <v>227096.8</v>
      </c>
      <c r="F465" s="52">
        <f t="shared" si="44"/>
        <v>420216.8</v>
      </c>
      <c r="G465" s="52">
        <f t="shared" si="44"/>
        <v>230108.8</v>
      </c>
      <c r="H465" s="52">
        <f t="shared" si="44"/>
        <v>187197.9</v>
      </c>
      <c r="I465" s="33">
        <f t="shared" si="46"/>
        <v>-42910.899999999994</v>
      </c>
      <c r="J465" s="33">
        <f t="shared" si="45"/>
        <v>81.3519083146755</v>
      </c>
      <c r="K465" s="33">
        <f t="shared" si="43"/>
        <v>44.54793335249804</v>
      </c>
      <c r="L465" s="33">
        <f t="shared" si="47"/>
        <v>-39898.899999999994</v>
      </c>
      <c r="M465" s="33">
        <f t="shared" si="48"/>
        <v>82.43088409876317</v>
      </c>
    </row>
    <row r="466" spans="1:13" ht="31.5" hidden="1">
      <c r="A466" s="111"/>
      <c r="B466" s="111"/>
      <c r="C466" s="23" t="s">
        <v>16</v>
      </c>
      <c r="D466" s="34" t="s">
        <v>17</v>
      </c>
      <c r="E466" s="52">
        <f t="shared" si="44"/>
        <v>3453.5</v>
      </c>
      <c r="F466" s="52">
        <f t="shared" si="44"/>
        <v>3687</v>
      </c>
      <c r="G466" s="52">
        <f t="shared" si="44"/>
        <v>3687</v>
      </c>
      <c r="H466" s="52">
        <f t="shared" si="44"/>
        <v>3362.2</v>
      </c>
      <c r="I466" s="33">
        <f t="shared" si="46"/>
        <v>-324.8000000000002</v>
      </c>
      <c r="J466" s="33">
        <f t="shared" si="45"/>
        <v>91.19066992134526</v>
      </c>
      <c r="K466" s="33">
        <f t="shared" si="43"/>
        <v>91.19066992134526</v>
      </c>
      <c r="L466" s="33">
        <f t="shared" si="47"/>
        <v>-91.30000000000018</v>
      </c>
      <c r="M466" s="33">
        <f t="shared" si="48"/>
        <v>97.35630519762559</v>
      </c>
    </row>
    <row r="467" spans="1:13" ht="78.75" hidden="1">
      <c r="A467" s="111"/>
      <c r="B467" s="111"/>
      <c r="C467" s="22" t="s">
        <v>18</v>
      </c>
      <c r="D467" s="36" t="s">
        <v>194</v>
      </c>
      <c r="E467" s="52">
        <f t="shared" si="44"/>
        <v>58733.7</v>
      </c>
      <c r="F467" s="52">
        <f t="shared" si="44"/>
        <v>123395.20000000001</v>
      </c>
      <c r="G467" s="52">
        <f t="shared" si="44"/>
        <v>72212</v>
      </c>
      <c r="H467" s="52">
        <f t="shared" si="44"/>
        <v>72089.7</v>
      </c>
      <c r="I467" s="33">
        <f t="shared" si="46"/>
        <v>-122.30000000000291</v>
      </c>
      <c r="J467" s="33">
        <f t="shared" si="45"/>
        <v>99.83063756716335</v>
      </c>
      <c r="K467" s="33">
        <f t="shared" si="43"/>
        <v>58.42180246881563</v>
      </c>
      <c r="L467" s="33">
        <f t="shared" si="47"/>
        <v>13356</v>
      </c>
      <c r="M467" s="33">
        <f t="shared" si="48"/>
        <v>122.73992614121025</v>
      </c>
    </row>
    <row r="468" spans="1:13" ht="15.75" hidden="1">
      <c r="A468" s="111"/>
      <c r="B468" s="111"/>
      <c r="C468" s="23" t="s">
        <v>75</v>
      </c>
      <c r="D468" s="34" t="s">
        <v>76</v>
      </c>
      <c r="E468" s="52">
        <f t="shared" si="44"/>
        <v>7900.8</v>
      </c>
      <c r="F468" s="52">
        <f t="shared" si="44"/>
        <v>11611.7</v>
      </c>
      <c r="G468" s="52">
        <f t="shared" si="44"/>
        <v>8128.1</v>
      </c>
      <c r="H468" s="52">
        <f t="shared" si="44"/>
        <v>9688.8</v>
      </c>
      <c r="I468" s="33">
        <f t="shared" si="46"/>
        <v>1560.699999999999</v>
      </c>
      <c r="J468" s="33">
        <f t="shared" si="45"/>
        <v>119.20128935421562</v>
      </c>
      <c r="K468" s="33">
        <f t="shared" si="43"/>
        <v>83.43997864223152</v>
      </c>
      <c r="L468" s="33">
        <f t="shared" si="47"/>
        <v>1787.999999999999</v>
      </c>
      <c r="M468" s="33">
        <f t="shared" si="48"/>
        <v>122.63061968408262</v>
      </c>
    </row>
    <row r="469" spans="1:13" ht="31.5" hidden="1">
      <c r="A469" s="111"/>
      <c r="B469" s="111"/>
      <c r="C469" s="23" t="s">
        <v>20</v>
      </c>
      <c r="D469" s="47" t="s">
        <v>21</v>
      </c>
      <c r="E469" s="52">
        <f t="shared" si="44"/>
        <v>63576.399999999994</v>
      </c>
      <c r="F469" s="52">
        <f t="shared" si="44"/>
        <v>7896</v>
      </c>
      <c r="G469" s="52">
        <f t="shared" si="44"/>
        <v>2111</v>
      </c>
      <c r="H469" s="52">
        <f t="shared" si="44"/>
        <v>99973.49999999999</v>
      </c>
      <c r="I469" s="33">
        <f t="shared" si="46"/>
        <v>97862.49999999999</v>
      </c>
      <c r="J469" s="33">
        <f t="shared" si="45"/>
        <v>4735.8360966366645</v>
      </c>
      <c r="K469" s="33">
        <f t="shared" si="43"/>
        <v>1266.1284194528873</v>
      </c>
      <c r="L469" s="33">
        <f t="shared" si="47"/>
        <v>36397.09999999999</v>
      </c>
      <c r="M469" s="33">
        <f t="shared" si="48"/>
        <v>157.24938813773664</v>
      </c>
    </row>
    <row r="470" spans="1:13" ht="15.75" hidden="1">
      <c r="A470" s="111"/>
      <c r="B470" s="111"/>
      <c r="C470" s="23" t="s">
        <v>101</v>
      </c>
      <c r="D470" s="34" t="s">
        <v>102</v>
      </c>
      <c r="E470" s="52">
        <f t="shared" si="44"/>
        <v>0</v>
      </c>
      <c r="F470" s="52">
        <f t="shared" si="44"/>
        <v>389.3</v>
      </c>
      <c r="G470" s="52">
        <f t="shared" si="44"/>
        <v>389.3</v>
      </c>
      <c r="H470" s="52">
        <f t="shared" si="44"/>
        <v>401.3</v>
      </c>
      <c r="I470" s="33">
        <f>H470-G470</f>
        <v>12</v>
      </c>
      <c r="J470" s="33"/>
      <c r="K470" s="33">
        <f t="shared" si="43"/>
        <v>103.08245568969947</v>
      </c>
      <c r="L470" s="33">
        <f>H470-E470</f>
        <v>401.3</v>
      </c>
      <c r="M470" s="33"/>
    </row>
    <row r="471" spans="1:13" ht="80.25" customHeight="1" hidden="1">
      <c r="A471" s="111"/>
      <c r="B471" s="111"/>
      <c r="C471" s="22" t="s">
        <v>22</v>
      </c>
      <c r="D471" s="48" t="s">
        <v>23</v>
      </c>
      <c r="E471" s="52">
        <f t="shared" si="44"/>
        <v>144.60000000000002</v>
      </c>
      <c r="F471" s="52">
        <f t="shared" si="44"/>
        <v>0</v>
      </c>
      <c r="G471" s="52">
        <f t="shared" si="44"/>
        <v>0</v>
      </c>
      <c r="H471" s="52">
        <f t="shared" si="44"/>
        <v>169.8</v>
      </c>
      <c r="I471" s="33">
        <f>H471-G471</f>
        <v>169.8</v>
      </c>
      <c r="J471" s="33"/>
      <c r="K471" s="33"/>
      <c r="L471" s="33">
        <f>H471-E471</f>
        <v>25.19999999999999</v>
      </c>
      <c r="M471" s="33">
        <f>H471/E471*100</f>
        <v>117.42738589211616</v>
      </c>
    </row>
    <row r="472" spans="1:13" ht="94.5" hidden="1">
      <c r="A472" s="111"/>
      <c r="B472" s="111"/>
      <c r="C472" s="22" t="s">
        <v>24</v>
      </c>
      <c r="D472" s="36" t="s">
        <v>195</v>
      </c>
      <c r="E472" s="52">
        <f t="shared" si="44"/>
        <v>132060</v>
      </c>
      <c r="F472" s="52">
        <f t="shared" si="44"/>
        <v>1162983.4</v>
      </c>
      <c r="G472" s="52">
        <f t="shared" si="44"/>
        <v>528827</v>
      </c>
      <c r="H472" s="52">
        <f t="shared" si="44"/>
        <v>424318.2</v>
      </c>
      <c r="I472" s="33">
        <f>H472-G472</f>
        <v>-104508.79999999999</v>
      </c>
      <c r="J472" s="33">
        <f>H472/G472*100</f>
        <v>80.23762024253679</v>
      </c>
      <c r="K472" s="33">
        <f>H472/F472*100</f>
        <v>36.485318707042595</v>
      </c>
      <c r="L472" s="33">
        <f>H472-E472</f>
        <v>292258.2</v>
      </c>
      <c r="M472" s="33">
        <f>H472/E472*100</f>
        <v>321.30713312130854</v>
      </c>
    </row>
    <row r="473" spans="1:13" ht="47.25" hidden="1">
      <c r="A473" s="111"/>
      <c r="B473" s="111"/>
      <c r="C473" s="22" t="s">
        <v>26</v>
      </c>
      <c r="D473" s="36" t="s">
        <v>27</v>
      </c>
      <c r="E473" s="52">
        <f t="shared" si="44"/>
        <v>173703.90000000002</v>
      </c>
      <c r="F473" s="52">
        <f t="shared" si="44"/>
        <v>194210.3</v>
      </c>
      <c r="G473" s="52">
        <f t="shared" si="44"/>
        <v>117169.6</v>
      </c>
      <c r="H473" s="52">
        <f t="shared" si="44"/>
        <v>36659.9</v>
      </c>
      <c r="I473" s="33">
        <f t="shared" si="46"/>
        <v>-80509.70000000001</v>
      </c>
      <c r="J473" s="33">
        <f>H473/G473*100</f>
        <v>31.28789378814983</v>
      </c>
      <c r="K473" s="33">
        <f>H473/F473*100</f>
        <v>18.876393270593788</v>
      </c>
      <c r="L473" s="33">
        <f t="shared" si="47"/>
        <v>-137044.00000000003</v>
      </c>
      <c r="M473" s="33">
        <f t="shared" si="48"/>
        <v>21.10482263207677</v>
      </c>
    </row>
    <row r="474" spans="1:13" ht="15.75" hidden="1">
      <c r="A474" s="111"/>
      <c r="B474" s="111"/>
      <c r="C474" s="23" t="s">
        <v>28</v>
      </c>
      <c r="D474" s="34" t="s">
        <v>29</v>
      </c>
      <c r="E474" s="52">
        <f t="shared" si="44"/>
        <v>76298</v>
      </c>
      <c r="F474" s="52">
        <f t="shared" si="44"/>
        <v>136184.3</v>
      </c>
      <c r="G474" s="52">
        <f t="shared" si="44"/>
        <v>69308.90000000001</v>
      </c>
      <c r="H474" s="52">
        <f t="shared" si="44"/>
        <v>90622.9</v>
      </c>
      <c r="I474" s="33">
        <f t="shared" si="46"/>
        <v>21313.999999999985</v>
      </c>
      <c r="J474" s="33">
        <f>H474/G474*100</f>
        <v>130.7521833415333</v>
      </c>
      <c r="K474" s="33">
        <f>H474/F474*100</f>
        <v>66.54430797088945</v>
      </c>
      <c r="L474" s="33">
        <f t="shared" si="47"/>
        <v>14324.899999999994</v>
      </c>
      <c r="M474" s="33">
        <f t="shared" si="48"/>
        <v>118.77493512280792</v>
      </c>
    </row>
    <row r="475" spans="1:13" ht="78.75" hidden="1">
      <c r="A475" s="111"/>
      <c r="B475" s="111"/>
      <c r="C475" s="22" t="s">
        <v>134</v>
      </c>
      <c r="D475" s="36" t="s">
        <v>135</v>
      </c>
      <c r="E475" s="52">
        <f t="shared" si="44"/>
        <v>1114.4</v>
      </c>
      <c r="F475" s="52">
        <f t="shared" si="44"/>
        <v>2000</v>
      </c>
      <c r="G475" s="52">
        <f t="shared" si="44"/>
        <v>1121.8</v>
      </c>
      <c r="H475" s="52">
        <f t="shared" si="44"/>
        <v>2402.6</v>
      </c>
      <c r="I475" s="33">
        <f t="shared" si="46"/>
        <v>1280.8</v>
      </c>
      <c r="J475" s="33">
        <f aca="true" t="shared" si="49" ref="J475:J494">H475/G475*100</f>
        <v>214.17364949188803</v>
      </c>
      <c r="K475" s="33">
        <f aca="true" t="shared" si="50" ref="K475:K494">H475/F475*100</f>
        <v>120.13000000000001</v>
      </c>
      <c r="L475" s="33">
        <f t="shared" si="47"/>
        <v>1288.1999999999998</v>
      </c>
      <c r="M475" s="33">
        <f t="shared" si="48"/>
        <v>215.5958363244795</v>
      </c>
    </row>
    <row r="476" spans="1:13" ht="63" hidden="1">
      <c r="A476" s="111"/>
      <c r="B476" s="111"/>
      <c r="C476" s="22" t="s">
        <v>143</v>
      </c>
      <c r="D476" s="36" t="s">
        <v>144</v>
      </c>
      <c r="E476" s="52">
        <f t="shared" si="44"/>
        <v>264.4</v>
      </c>
      <c r="F476" s="52">
        <f t="shared" si="44"/>
        <v>500</v>
      </c>
      <c r="G476" s="52">
        <f t="shared" si="44"/>
        <v>265</v>
      </c>
      <c r="H476" s="52">
        <f t="shared" si="44"/>
        <v>162.9</v>
      </c>
      <c r="I476" s="33">
        <f t="shared" si="46"/>
        <v>-102.1</v>
      </c>
      <c r="J476" s="33">
        <f t="shared" si="49"/>
        <v>61.47169811320755</v>
      </c>
      <c r="K476" s="33">
        <f t="shared" si="50"/>
        <v>32.580000000000005</v>
      </c>
      <c r="L476" s="33">
        <f t="shared" si="47"/>
        <v>-101.49999999999997</v>
      </c>
      <c r="M476" s="33">
        <f t="shared" si="48"/>
        <v>61.61119515885023</v>
      </c>
    </row>
    <row r="477" spans="1:13" ht="63" hidden="1">
      <c r="A477" s="111"/>
      <c r="B477" s="111"/>
      <c r="C477" s="22" t="s">
        <v>136</v>
      </c>
      <c r="D477" s="36" t="s">
        <v>137</v>
      </c>
      <c r="E477" s="52">
        <f t="shared" si="44"/>
        <v>580</v>
      </c>
      <c r="F477" s="52">
        <f t="shared" si="44"/>
        <v>1000</v>
      </c>
      <c r="G477" s="52">
        <f t="shared" si="44"/>
        <v>651.7</v>
      </c>
      <c r="H477" s="52">
        <f t="shared" si="44"/>
        <v>863.9</v>
      </c>
      <c r="I477" s="33">
        <f t="shared" si="46"/>
        <v>212.19999999999993</v>
      </c>
      <c r="J477" s="33">
        <f t="shared" si="49"/>
        <v>132.56099432254103</v>
      </c>
      <c r="K477" s="33">
        <f t="shared" si="50"/>
        <v>86.39</v>
      </c>
      <c r="L477" s="33">
        <f t="shared" si="47"/>
        <v>283.9</v>
      </c>
      <c r="M477" s="33">
        <f t="shared" si="48"/>
        <v>148.94827586206895</v>
      </c>
    </row>
    <row r="478" spans="1:13" ht="63" hidden="1">
      <c r="A478" s="111"/>
      <c r="B478" s="111"/>
      <c r="C478" s="22" t="s">
        <v>145</v>
      </c>
      <c r="D478" s="36" t="s">
        <v>146</v>
      </c>
      <c r="E478" s="52">
        <f t="shared" si="44"/>
        <v>318</v>
      </c>
      <c r="F478" s="52">
        <f t="shared" si="44"/>
        <v>529.4</v>
      </c>
      <c r="G478" s="52">
        <f t="shared" si="44"/>
        <v>299.7</v>
      </c>
      <c r="H478" s="52">
        <f t="shared" si="44"/>
        <v>539.4</v>
      </c>
      <c r="I478" s="33">
        <f t="shared" si="46"/>
        <v>239.7</v>
      </c>
      <c r="J478" s="33">
        <f t="shared" si="49"/>
        <v>179.97997997998</v>
      </c>
      <c r="K478" s="33">
        <f t="shared" si="50"/>
        <v>101.88893086513033</v>
      </c>
      <c r="L478" s="33">
        <f t="shared" si="47"/>
        <v>221.39999999999998</v>
      </c>
      <c r="M478" s="33">
        <f t="shared" si="48"/>
        <v>169.62264150943395</v>
      </c>
    </row>
    <row r="479" spans="1:13" ht="31.5" hidden="1">
      <c r="A479" s="111"/>
      <c r="B479" s="111"/>
      <c r="C479" s="22" t="s">
        <v>52</v>
      </c>
      <c r="D479" s="36" t="s">
        <v>53</v>
      </c>
      <c r="E479" s="52">
        <f t="shared" si="44"/>
        <v>148.1</v>
      </c>
      <c r="F479" s="52">
        <f t="shared" si="44"/>
        <v>0</v>
      </c>
      <c r="G479" s="52">
        <f t="shared" si="44"/>
        <v>0</v>
      </c>
      <c r="H479" s="52">
        <f t="shared" si="44"/>
        <v>0</v>
      </c>
      <c r="I479" s="33">
        <f t="shared" si="46"/>
        <v>0</v>
      </c>
      <c r="J479" s="33" t="e">
        <f t="shared" si="49"/>
        <v>#DIV/0!</v>
      </c>
      <c r="K479" s="33" t="e">
        <f t="shared" si="50"/>
        <v>#DIV/0!</v>
      </c>
      <c r="L479" s="33">
        <f t="shared" si="47"/>
        <v>-148.1</v>
      </c>
      <c r="M479" s="33">
        <f t="shared" si="48"/>
        <v>0</v>
      </c>
    </row>
    <row r="480" spans="1:13" ht="63" hidden="1">
      <c r="A480" s="111"/>
      <c r="B480" s="111"/>
      <c r="C480" s="22" t="s">
        <v>147</v>
      </c>
      <c r="D480" s="36" t="s">
        <v>148</v>
      </c>
      <c r="E480" s="52">
        <f t="shared" si="44"/>
        <v>0</v>
      </c>
      <c r="F480" s="52">
        <f t="shared" si="44"/>
        <v>2.2</v>
      </c>
      <c r="G480" s="52">
        <f t="shared" si="44"/>
        <v>0</v>
      </c>
      <c r="H480" s="52">
        <f t="shared" si="44"/>
        <v>3.5</v>
      </c>
      <c r="I480" s="33">
        <f t="shared" si="46"/>
        <v>3.5</v>
      </c>
      <c r="J480" s="33" t="e">
        <f t="shared" si="49"/>
        <v>#DIV/0!</v>
      </c>
      <c r="K480" s="33">
        <f t="shared" si="50"/>
        <v>159.0909090909091</v>
      </c>
      <c r="L480" s="33">
        <f t="shared" si="47"/>
        <v>3.5</v>
      </c>
      <c r="M480" s="33" t="e">
        <f t="shared" si="48"/>
        <v>#DIV/0!</v>
      </c>
    </row>
    <row r="481" spans="1:13" ht="63" hidden="1">
      <c r="A481" s="111"/>
      <c r="B481" s="111"/>
      <c r="C481" s="22" t="s">
        <v>30</v>
      </c>
      <c r="D481" s="49" t="s">
        <v>31</v>
      </c>
      <c r="E481" s="52">
        <f t="shared" si="44"/>
        <v>232.2</v>
      </c>
      <c r="F481" s="52">
        <f t="shared" si="44"/>
        <v>0</v>
      </c>
      <c r="G481" s="52">
        <f t="shared" si="44"/>
        <v>0</v>
      </c>
      <c r="H481" s="52">
        <f t="shared" si="44"/>
        <v>599.3</v>
      </c>
      <c r="I481" s="33">
        <f t="shared" si="46"/>
        <v>599.3</v>
      </c>
      <c r="J481" s="33" t="e">
        <f t="shared" si="49"/>
        <v>#DIV/0!</v>
      </c>
      <c r="K481" s="33" t="e">
        <f t="shared" si="50"/>
        <v>#DIV/0!</v>
      </c>
      <c r="L481" s="33">
        <f t="shared" si="47"/>
        <v>367.09999999999997</v>
      </c>
      <c r="M481" s="33">
        <f t="shared" si="48"/>
        <v>258.09646856158486</v>
      </c>
    </row>
    <row r="482" spans="1:13" ht="31.5" hidden="1">
      <c r="A482" s="111"/>
      <c r="B482" s="111"/>
      <c r="C482" s="22" t="s">
        <v>77</v>
      </c>
      <c r="D482" s="36" t="s">
        <v>78</v>
      </c>
      <c r="E482" s="52">
        <f aca="true" t="shared" si="51" ref="E482:H496">SUMIF($C$6:$C$437,$C482,E$6:E$437)</f>
        <v>615.1</v>
      </c>
      <c r="F482" s="52">
        <f t="shared" si="51"/>
        <v>1400</v>
      </c>
      <c r="G482" s="52">
        <f t="shared" si="51"/>
        <v>658</v>
      </c>
      <c r="H482" s="52">
        <f t="shared" si="51"/>
        <v>751.4</v>
      </c>
      <c r="I482" s="33">
        <f t="shared" si="46"/>
        <v>93.39999999999998</v>
      </c>
      <c r="J482" s="33">
        <f t="shared" si="49"/>
        <v>114.19452887537993</v>
      </c>
      <c r="K482" s="33">
        <f t="shared" si="50"/>
        <v>53.67142857142857</v>
      </c>
      <c r="L482" s="33">
        <f t="shared" si="47"/>
        <v>136.29999999999995</v>
      </c>
      <c r="M482" s="33">
        <f t="shared" si="48"/>
        <v>122.15899853682328</v>
      </c>
    </row>
    <row r="483" spans="1:13" ht="47.25" hidden="1">
      <c r="A483" s="111"/>
      <c r="B483" s="111"/>
      <c r="C483" s="22" t="s">
        <v>196</v>
      </c>
      <c r="D483" s="36" t="s">
        <v>197</v>
      </c>
      <c r="E483" s="52">
        <f t="shared" si="51"/>
        <v>0</v>
      </c>
      <c r="F483" s="52">
        <f t="shared" si="51"/>
        <v>0</v>
      </c>
      <c r="G483" s="52">
        <f t="shared" si="51"/>
        <v>0</v>
      </c>
      <c r="H483" s="52">
        <f t="shared" si="51"/>
        <v>0</v>
      </c>
      <c r="I483" s="33">
        <f t="shared" si="46"/>
        <v>0</v>
      </c>
      <c r="J483" s="33" t="e">
        <f t="shared" si="49"/>
        <v>#DIV/0!</v>
      </c>
      <c r="K483" s="33" t="e">
        <f t="shared" si="50"/>
        <v>#DIV/0!</v>
      </c>
      <c r="L483" s="33">
        <f t="shared" si="47"/>
        <v>0</v>
      </c>
      <c r="M483" s="33" t="e">
        <f t="shared" si="48"/>
        <v>#DIV/0!</v>
      </c>
    </row>
    <row r="484" spans="1:13" ht="47.25" hidden="1">
      <c r="A484" s="111"/>
      <c r="B484" s="111"/>
      <c r="C484" s="22" t="s">
        <v>79</v>
      </c>
      <c r="D484" s="36" t="s">
        <v>80</v>
      </c>
      <c r="E484" s="52">
        <f t="shared" si="51"/>
        <v>2029.2</v>
      </c>
      <c r="F484" s="52">
        <f t="shared" si="51"/>
        <v>1100</v>
      </c>
      <c r="G484" s="52">
        <f t="shared" si="51"/>
        <v>407</v>
      </c>
      <c r="H484" s="52">
        <f t="shared" si="51"/>
        <v>505.6</v>
      </c>
      <c r="I484" s="33">
        <f t="shared" si="46"/>
        <v>98.60000000000002</v>
      </c>
      <c r="J484" s="33">
        <f t="shared" si="49"/>
        <v>124.22604422604424</v>
      </c>
      <c r="K484" s="33">
        <f t="shared" si="50"/>
        <v>45.96363636363637</v>
      </c>
      <c r="L484" s="33">
        <f t="shared" si="47"/>
        <v>-1523.6</v>
      </c>
      <c r="M484" s="33">
        <f t="shared" si="48"/>
        <v>24.916223142124977</v>
      </c>
    </row>
    <row r="485" spans="1:13" ht="31.5" hidden="1">
      <c r="A485" s="111"/>
      <c r="B485" s="111"/>
      <c r="C485" s="22" t="s">
        <v>81</v>
      </c>
      <c r="D485" s="36" t="s">
        <v>82</v>
      </c>
      <c r="E485" s="52">
        <f t="shared" si="51"/>
        <v>0</v>
      </c>
      <c r="F485" s="52">
        <f t="shared" si="51"/>
        <v>0</v>
      </c>
      <c r="G485" s="52">
        <f t="shared" si="51"/>
        <v>0</v>
      </c>
      <c r="H485" s="52">
        <f t="shared" si="51"/>
        <v>0</v>
      </c>
      <c r="I485" s="33">
        <f t="shared" si="46"/>
        <v>0</v>
      </c>
      <c r="J485" s="33" t="e">
        <f t="shared" si="49"/>
        <v>#DIV/0!</v>
      </c>
      <c r="K485" s="33" t="e">
        <f t="shared" si="50"/>
        <v>#DIV/0!</v>
      </c>
      <c r="L485" s="33">
        <f t="shared" si="47"/>
        <v>0</v>
      </c>
      <c r="M485" s="33" t="e">
        <f t="shared" si="48"/>
        <v>#DIV/0!</v>
      </c>
    </row>
    <row r="486" spans="1:13" ht="31.5" hidden="1">
      <c r="A486" s="111"/>
      <c r="B486" s="111"/>
      <c r="C486" s="22" t="s">
        <v>83</v>
      </c>
      <c r="D486" s="36" t="s">
        <v>84</v>
      </c>
      <c r="E486" s="52">
        <f t="shared" si="51"/>
        <v>2365.2</v>
      </c>
      <c r="F486" s="52">
        <f t="shared" si="51"/>
        <v>3553.3</v>
      </c>
      <c r="G486" s="52">
        <f t="shared" si="51"/>
        <v>1812.1</v>
      </c>
      <c r="H486" s="52">
        <f t="shared" si="51"/>
        <v>1768.5</v>
      </c>
      <c r="I486" s="33">
        <f t="shared" si="46"/>
        <v>-43.59999999999991</v>
      </c>
      <c r="J486" s="33">
        <f t="shared" si="49"/>
        <v>97.5939517686662</v>
      </c>
      <c r="K486" s="33">
        <f t="shared" si="50"/>
        <v>49.77063574705203</v>
      </c>
      <c r="L486" s="33">
        <f t="shared" si="47"/>
        <v>-596.6999999999998</v>
      </c>
      <c r="M486" s="33">
        <f t="shared" si="48"/>
        <v>74.77168949771689</v>
      </c>
    </row>
    <row r="487" spans="1:13" ht="31.5" hidden="1">
      <c r="A487" s="111"/>
      <c r="B487" s="111"/>
      <c r="C487" s="22" t="s">
        <v>175</v>
      </c>
      <c r="D487" s="36" t="s">
        <v>176</v>
      </c>
      <c r="E487" s="52">
        <f t="shared" si="51"/>
        <v>303.1</v>
      </c>
      <c r="F487" s="52">
        <f t="shared" si="51"/>
        <v>729</v>
      </c>
      <c r="G487" s="52">
        <f t="shared" si="51"/>
        <v>391.1</v>
      </c>
      <c r="H487" s="52">
        <f t="shared" si="51"/>
        <v>394.2</v>
      </c>
      <c r="I487" s="33">
        <f t="shared" si="46"/>
        <v>3.099999999999966</v>
      </c>
      <c r="J487" s="33">
        <f t="shared" si="49"/>
        <v>100.7926361544362</v>
      </c>
      <c r="K487" s="33">
        <f t="shared" si="50"/>
        <v>54.074074074074076</v>
      </c>
      <c r="L487" s="33">
        <f t="shared" si="47"/>
        <v>91.09999999999997</v>
      </c>
      <c r="M487" s="33">
        <f t="shared" si="48"/>
        <v>130.056087099967</v>
      </c>
    </row>
    <row r="488" spans="1:13" ht="31.5" hidden="1">
      <c r="A488" s="111"/>
      <c r="B488" s="111"/>
      <c r="C488" s="22" t="s">
        <v>85</v>
      </c>
      <c r="D488" s="36" t="s">
        <v>86</v>
      </c>
      <c r="E488" s="52">
        <f t="shared" si="51"/>
        <v>0</v>
      </c>
      <c r="F488" s="52">
        <f t="shared" si="51"/>
        <v>0</v>
      </c>
      <c r="G488" s="52">
        <f t="shared" si="51"/>
        <v>0</v>
      </c>
      <c r="H488" s="52">
        <f t="shared" si="51"/>
        <v>0</v>
      </c>
      <c r="I488" s="33">
        <f t="shared" si="46"/>
        <v>0</v>
      </c>
      <c r="J488" s="33" t="e">
        <f t="shared" si="49"/>
        <v>#DIV/0!</v>
      </c>
      <c r="K488" s="33" t="e">
        <f t="shared" si="50"/>
        <v>#DIV/0!</v>
      </c>
      <c r="L488" s="33">
        <f t="shared" si="47"/>
        <v>0</v>
      </c>
      <c r="M488" s="33" t="e">
        <f t="shared" si="48"/>
        <v>#DIV/0!</v>
      </c>
    </row>
    <row r="489" spans="1:13" ht="31.5" hidden="1">
      <c r="A489" s="111"/>
      <c r="B489" s="111"/>
      <c r="C489" s="22" t="s">
        <v>87</v>
      </c>
      <c r="D489" s="36" t="s">
        <v>88</v>
      </c>
      <c r="E489" s="52">
        <f t="shared" si="51"/>
        <v>0</v>
      </c>
      <c r="F489" s="52">
        <f t="shared" si="51"/>
        <v>0</v>
      </c>
      <c r="G489" s="52">
        <f t="shared" si="51"/>
        <v>0</v>
      </c>
      <c r="H489" s="52">
        <f t="shared" si="51"/>
        <v>0</v>
      </c>
      <c r="I489" s="33">
        <f t="shared" si="46"/>
        <v>0</v>
      </c>
      <c r="J489" s="33" t="e">
        <f t="shared" si="49"/>
        <v>#DIV/0!</v>
      </c>
      <c r="K489" s="33" t="e">
        <f t="shared" si="50"/>
        <v>#DIV/0!</v>
      </c>
      <c r="L489" s="33">
        <f t="shared" si="47"/>
        <v>0</v>
      </c>
      <c r="M489" s="33" t="e">
        <f t="shared" si="48"/>
        <v>#DIV/0!</v>
      </c>
    </row>
    <row r="490" spans="1:13" ht="63" hidden="1">
      <c r="A490" s="111"/>
      <c r="B490" s="111"/>
      <c r="C490" s="22" t="s">
        <v>156</v>
      </c>
      <c r="D490" s="36" t="s">
        <v>157</v>
      </c>
      <c r="E490" s="52">
        <f t="shared" si="51"/>
        <v>8079.1</v>
      </c>
      <c r="F490" s="52">
        <f t="shared" si="51"/>
        <v>9124</v>
      </c>
      <c r="G490" s="52">
        <f t="shared" si="51"/>
        <v>5653.7</v>
      </c>
      <c r="H490" s="52">
        <f t="shared" si="51"/>
        <v>6681.1</v>
      </c>
      <c r="I490" s="33">
        <f t="shared" si="46"/>
        <v>1027.4000000000005</v>
      </c>
      <c r="J490" s="33">
        <f t="shared" si="49"/>
        <v>118.17217043705892</v>
      </c>
      <c r="K490" s="33">
        <f t="shared" si="50"/>
        <v>73.22555896536606</v>
      </c>
      <c r="L490" s="33">
        <f t="shared" si="47"/>
        <v>-1398</v>
      </c>
      <c r="M490" s="33">
        <f t="shared" si="48"/>
        <v>82.6960923865282</v>
      </c>
    </row>
    <row r="491" spans="1:13" ht="31.5" hidden="1">
      <c r="A491" s="111"/>
      <c r="B491" s="111"/>
      <c r="C491" s="22" t="s">
        <v>128</v>
      </c>
      <c r="D491" s="36" t="s">
        <v>129</v>
      </c>
      <c r="E491" s="52">
        <f t="shared" si="51"/>
        <v>34637.9</v>
      </c>
      <c r="F491" s="52">
        <f t="shared" si="51"/>
        <v>80638.8</v>
      </c>
      <c r="G491" s="52">
        <f t="shared" si="51"/>
        <v>38885.3</v>
      </c>
      <c r="H491" s="52">
        <f t="shared" si="51"/>
        <v>37994</v>
      </c>
      <c r="I491" s="33">
        <f t="shared" si="46"/>
        <v>-891.3000000000029</v>
      </c>
      <c r="J491" s="33">
        <f t="shared" si="49"/>
        <v>97.70787418381752</v>
      </c>
      <c r="K491" s="33">
        <f t="shared" si="50"/>
        <v>47.11627653189284</v>
      </c>
      <c r="L491" s="33">
        <f t="shared" si="47"/>
        <v>3356.0999999999985</v>
      </c>
      <c r="M491" s="33">
        <f t="shared" si="48"/>
        <v>109.68909778017719</v>
      </c>
    </row>
    <row r="492" spans="1:13" ht="47.25" hidden="1">
      <c r="A492" s="111"/>
      <c r="B492" s="111"/>
      <c r="C492" s="22" t="s">
        <v>54</v>
      </c>
      <c r="D492" s="55" t="s">
        <v>55</v>
      </c>
      <c r="E492" s="52">
        <f t="shared" si="51"/>
        <v>0</v>
      </c>
      <c r="F492" s="52">
        <f t="shared" si="51"/>
        <v>0</v>
      </c>
      <c r="G492" s="52">
        <f t="shared" si="51"/>
        <v>0</v>
      </c>
      <c r="H492" s="52">
        <f t="shared" si="51"/>
        <v>169.2</v>
      </c>
      <c r="I492" s="33">
        <f t="shared" si="46"/>
        <v>169.2</v>
      </c>
      <c r="J492" s="33" t="e">
        <f t="shared" si="49"/>
        <v>#DIV/0!</v>
      </c>
      <c r="K492" s="33" t="e">
        <f t="shared" si="50"/>
        <v>#DIV/0!</v>
      </c>
      <c r="L492" s="33">
        <f t="shared" si="47"/>
        <v>169.2</v>
      </c>
      <c r="M492" s="33" t="e">
        <f t="shared" si="48"/>
        <v>#DIV/0!</v>
      </c>
    </row>
    <row r="493" spans="1:13" ht="63" hidden="1">
      <c r="A493" s="111"/>
      <c r="B493" s="111"/>
      <c r="C493" s="23" t="s">
        <v>65</v>
      </c>
      <c r="D493" s="55" t="s">
        <v>66</v>
      </c>
      <c r="E493" s="52">
        <f t="shared" si="51"/>
        <v>91.3</v>
      </c>
      <c r="F493" s="52">
        <f t="shared" si="51"/>
        <v>30</v>
      </c>
      <c r="G493" s="52">
        <f t="shared" si="51"/>
        <v>30</v>
      </c>
      <c r="H493" s="52">
        <f t="shared" si="51"/>
        <v>106</v>
      </c>
      <c r="I493" s="33">
        <f t="shared" si="46"/>
        <v>76</v>
      </c>
      <c r="J493" s="33">
        <f t="shared" si="49"/>
        <v>353.3333333333333</v>
      </c>
      <c r="K493" s="33">
        <f t="shared" si="50"/>
        <v>353.3333333333333</v>
      </c>
      <c r="L493" s="33">
        <f t="shared" si="47"/>
        <v>14.700000000000003</v>
      </c>
      <c r="M493" s="33">
        <f t="shared" si="48"/>
        <v>116.10076670317635</v>
      </c>
    </row>
    <row r="494" spans="1:13" ht="47.25" hidden="1">
      <c r="A494" s="111"/>
      <c r="B494" s="111"/>
      <c r="C494" s="22" t="s">
        <v>32</v>
      </c>
      <c r="D494" s="36" t="s">
        <v>33</v>
      </c>
      <c r="E494" s="52">
        <f t="shared" si="51"/>
        <v>25520</v>
      </c>
      <c r="F494" s="52">
        <f t="shared" si="51"/>
        <v>35577.6</v>
      </c>
      <c r="G494" s="52">
        <f t="shared" si="51"/>
        <v>18453.5</v>
      </c>
      <c r="H494" s="52">
        <f t="shared" si="51"/>
        <v>37681.20000000001</v>
      </c>
      <c r="I494" s="33">
        <f t="shared" si="46"/>
        <v>19227.70000000001</v>
      </c>
      <c r="J494" s="33">
        <f t="shared" si="49"/>
        <v>204.19541008480783</v>
      </c>
      <c r="K494" s="33">
        <f t="shared" si="50"/>
        <v>105.91270912034543</v>
      </c>
      <c r="L494" s="33">
        <f t="shared" si="47"/>
        <v>12161.200000000012</v>
      </c>
      <c r="M494" s="33">
        <f t="shared" si="48"/>
        <v>147.653605015674</v>
      </c>
    </row>
    <row r="495" spans="1:13" ht="15.75" hidden="1">
      <c r="A495" s="111"/>
      <c r="B495" s="111"/>
      <c r="C495" s="23" t="s">
        <v>34</v>
      </c>
      <c r="D495" s="34" t="s">
        <v>35</v>
      </c>
      <c r="E495" s="52">
        <f t="shared" si="51"/>
        <v>-628.7000000000002</v>
      </c>
      <c r="F495" s="52">
        <f t="shared" si="51"/>
        <v>0</v>
      </c>
      <c r="G495" s="52">
        <f t="shared" si="51"/>
        <v>0</v>
      </c>
      <c r="H495" s="52">
        <f t="shared" si="51"/>
        <v>-4818.5999999999985</v>
      </c>
      <c r="I495" s="33">
        <f t="shared" si="46"/>
        <v>-4818.5999999999985</v>
      </c>
      <c r="J495" s="33"/>
      <c r="K495" s="33"/>
      <c r="L495" s="33">
        <f t="shared" si="47"/>
        <v>-4189.899999999999</v>
      </c>
      <c r="M495" s="33">
        <f t="shared" si="48"/>
        <v>766.4386829966594</v>
      </c>
    </row>
    <row r="496" spans="1:13" ht="15.75" hidden="1">
      <c r="A496" s="111"/>
      <c r="B496" s="111"/>
      <c r="C496" s="23" t="s">
        <v>36</v>
      </c>
      <c r="D496" s="34" t="s">
        <v>163</v>
      </c>
      <c r="E496" s="52">
        <f t="shared" si="51"/>
        <v>106923.09999999999</v>
      </c>
      <c r="F496" s="52">
        <f t="shared" si="51"/>
        <v>140047.8</v>
      </c>
      <c r="G496" s="52">
        <f t="shared" si="51"/>
        <v>79287</v>
      </c>
      <c r="H496" s="52">
        <f t="shared" si="51"/>
        <v>34738.9</v>
      </c>
      <c r="I496" s="33">
        <f t="shared" si="46"/>
        <v>-44548.1</v>
      </c>
      <c r="J496" s="33">
        <f aca="true" t="shared" si="52" ref="J496:J505">H496/G496*100</f>
        <v>43.814118329612675</v>
      </c>
      <c r="K496" s="33">
        <f aca="true" t="shared" si="53" ref="K496:K505">H496/F496*100</f>
        <v>24.805030853751365</v>
      </c>
      <c r="L496" s="33">
        <f t="shared" si="47"/>
        <v>-72184.19999999998</v>
      </c>
      <c r="M496" s="33">
        <f t="shared" si="48"/>
        <v>32.48961169288956</v>
      </c>
    </row>
    <row r="497" spans="1:13" s="5" customFormat="1" ht="15.75" hidden="1">
      <c r="A497" s="111"/>
      <c r="B497" s="111"/>
      <c r="C497" s="25"/>
      <c r="D497" s="3" t="s">
        <v>183</v>
      </c>
      <c r="E497" s="8">
        <f>E446+E461</f>
        <v>8964252.899999999</v>
      </c>
      <c r="F497" s="8">
        <f>F446+F461</f>
        <v>17414833.8</v>
      </c>
      <c r="G497" s="8">
        <f>G446+G461</f>
        <v>9491926.7</v>
      </c>
      <c r="H497" s="8">
        <f>H446+H461</f>
        <v>9380414.799999999</v>
      </c>
      <c r="I497" s="4">
        <f t="shared" si="46"/>
        <v>-111511.90000000037</v>
      </c>
      <c r="J497" s="4">
        <f t="shared" si="52"/>
        <v>98.82519214987195</v>
      </c>
      <c r="K497" s="4">
        <f t="shared" si="53"/>
        <v>53.86450946204263</v>
      </c>
      <c r="L497" s="4">
        <f t="shared" si="47"/>
        <v>416161.9000000004</v>
      </c>
      <c r="M497" s="4">
        <f t="shared" si="48"/>
        <v>104.64246049997095</v>
      </c>
    </row>
    <row r="498" spans="1:13" s="5" customFormat="1" ht="31.5" hidden="1">
      <c r="A498" s="111"/>
      <c r="B498" s="111"/>
      <c r="C498" s="25"/>
      <c r="D498" s="3" t="s">
        <v>198</v>
      </c>
      <c r="E498" s="8">
        <f>E499-E506</f>
        <v>1957964.5999999999</v>
      </c>
      <c r="F498" s="8">
        <f>F499-F506</f>
        <v>5015396.100000001</v>
      </c>
      <c r="G498" s="8">
        <f>G499-G506</f>
        <v>2341822.0999999996</v>
      </c>
      <c r="H498" s="8">
        <f>H499-H506</f>
        <v>2213079.7</v>
      </c>
      <c r="I498" s="4">
        <f t="shared" si="46"/>
        <v>-128742.39999999944</v>
      </c>
      <c r="J498" s="4">
        <f t="shared" si="52"/>
        <v>94.50246882545008</v>
      </c>
      <c r="K498" s="4">
        <f t="shared" si="53"/>
        <v>44.12572119677646</v>
      </c>
      <c r="L498" s="4">
        <f t="shared" si="47"/>
        <v>255115.10000000033</v>
      </c>
      <c r="M498" s="4">
        <f t="shared" si="48"/>
        <v>113.02960737900982</v>
      </c>
    </row>
    <row r="499" spans="1:13" s="5" customFormat="1" ht="31.5" hidden="1">
      <c r="A499" s="111"/>
      <c r="B499" s="111"/>
      <c r="C499" s="25" t="s">
        <v>199</v>
      </c>
      <c r="D499" s="3" t="s">
        <v>200</v>
      </c>
      <c r="E499" s="8">
        <f>SUM(E500:E506)</f>
        <v>1822441.0999999999</v>
      </c>
      <c r="F499" s="8">
        <f>SUM(F500:F506)</f>
        <v>5015396.100000001</v>
      </c>
      <c r="G499" s="8">
        <f>SUM(G500:G506)</f>
        <v>2341822.0999999996</v>
      </c>
      <c r="H499" s="8">
        <f>SUM(H500:H506)</f>
        <v>2115849.4000000004</v>
      </c>
      <c r="I499" s="4">
        <f t="shared" si="46"/>
        <v>-225972.69999999925</v>
      </c>
      <c r="J499" s="4">
        <f t="shared" si="52"/>
        <v>90.35056078768753</v>
      </c>
      <c r="K499" s="4">
        <f t="shared" si="53"/>
        <v>42.18708468509596</v>
      </c>
      <c r="L499" s="4">
        <f t="shared" si="47"/>
        <v>293408.3000000005</v>
      </c>
      <c r="M499" s="4">
        <f t="shared" si="48"/>
        <v>116.09974116584621</v>
      </c>
    </row>
    <row r="500" spans="1:13" ht="31.5" hidden="1">
      <c r="A500" s="111"/>
      <c r="B500" s="111"/>
      <c r="C500" s="23" t="s">
        <v>56</v>
      </c>
      <c r="D500" s="34" t="s">
        <v>57</v>
      </c>
      <c r="E500" s="52">
        <f aca="true" t="shared" si="54" ref="E500:H505">SUMIF($C$6:$C$429,$C500,E$6:E$429)</f>
        <v>0</v>
      </c>
      <c r="F500" s="52">
        <f t="shared" si="54"/>
        <v>0</v>
      </c>
      <c r="G500" s="52">
        <f t="shared" si="54"/>
        <v>0</v>
      </c>
      <c r="H500" s="52">
        <f t="shared" si="54"/>
        <v>0</v>
      </c>
      <c r="I500" s="33">
        <f t="shared" si="46"/>
        <v>0</v>
      </c>
      <c r="J500" s="33"/>
      <c r="K500" s="33"/>
      <c r="L500" s="33">
        <f t="shared" si="47"/>
        <v>0</v>
      </c>
      <c r="M500" s="33"/>
    </row>
    <row r="501" spans="1:13" ht="15.75" hidden="1">
      <c r="A501" s="111"/>
      <c r="B501" s="111"/>
      <c r="C501" s="23" t="s">
        <v>39</v>
      </c>
      <c r="D501" s="34" t="s">
        <v>201</v>
      </c>
      <c r="E501" s="52">
        <f t="shared" si="54"/>
        <v>156135.90000000002</v>
      </c>
      <c r="F501" s="52">
        <f t="shared" si="54"/>
        <v>1987192.7000000002</v>
      </c>
      <c r="G501" s="52">
        <f t="shared" si="54"/>
        <v>375947.5999999999</v>
      </c>
      <c r="H501" s="52">
        <f t="shared" si="54"/>
        <v>185897.09999999998</v>
      </c>
      <c r="I501" s="33">
        <f t="shared" si="46"/>
        <v>-190050.49999999994</v>
      </c>
      <c r="J501" s="33">
        <f t="shared" si="52"/>
        <v>49.44760918808898</v>
      </c>
      <c r="K501" s="33">
        <f t="shared" si="53"/>
        <v>9.354759606353221</v>
      </c>
      <c r="L501" s="33">
        <f t="shared" si="47"/>
        <v>29761.199999999953</v>
      </c>
      <c r="M501" s="33">
        <f t="shared" si="48"/>
        <v>119.06108716829374</v>
      </c>
    </row>
    <row r="502" spans="1:13" ht="15.75" hidden="1">
      <c r="A502" s="111"/>
      <c r="B502" s="111"/>
      <c r="C502" s="23" t="s">
        <v>41</v>
      </c>
      <c r="D502" s="34" t="s">
        <v>91</v>
      </c>
      <c r="E502" s="52">
        <f t="shared" si="54"/>
        <v>1546943.4</v>
      </c>
      <c r="F502" s="52">
        <f t="shared" si="54"/>
        <v>2658159.1</v>
      </c>
      <c r="G502" s="52">
        <f t="shared" si="54"/>
        <v>1682755.8999999997</v>
      </c>
      <c r="H502" s="52">
        <f t="shared" si="54"/>
        <v>1813358</v>
      </c>
      <c r="I502" s="33">
        <f t="shared" si="46"/>
        <v>130602.10000000033</v>
      </c>
      <c r="J502" s="33">
        <f t="shared" si="52"/>
        <v>107.7612029171908</v>
      </c>
      <c r="K502" s="33">
        <f t="shared" si="53"/>
        <v>68.2185652469034</v>
      </c>
      <c r="L502" s="33">
        <f t="shared" si="47"/>
        <v>266414.6000000001</v>
      </c>
      <c r="M502" s="33">
        <f t="shared" si="48"/>
        <v>117.22200049465287</v>
      </c>
    </row>
    <row r="503" spans="1:13" ht="15.75" hidden="1">
      <c r="A503" s="111"/>
      <c r="B503" s="111"/>
      <c r="C503" s="23" t="s">
        <v>59</v>
      </c>
      <c r="D503" s="36" t="s">
        <v>60</v>
      </c>
      <c r="E503" s="52">
        <f t="shared" si="54"/>
        <v>254885.3</v>
      </c>
      <c r="F503" s="52">
        <f t="shared" si="54"/>
        <v>370044.3</v>
      </c>
      <c r="G503" s="52">
        <f t="shared" si="54"/>
        <v>283118.6</v>
      </c>
      <c r="H503" s="52">
        <f t="shared" si="54"/>
        <v>213824.6</v>
      </c>
      <c r="I503" s="33">
        <f t="shared" si="46"/>
        <v>-69293.99999999997</v>
      </c>
      <c r="J503" s="33">
        <f t="shared" si="52"/>
        <v>75.5247447536121</v>
      </c>
      <c r="K503" s="33">
        <f t="shared" si="53"/>
        <v>57.78351402791504</v>
      </c>
      <c r="L503" s="33">
        <f t="shared" si="47"/>
        <v>-41060.69999999998</v>
      </c>
      <c r="M503" s="33">
        <f t="shared" si="48"/>
        <v>83.8905185979733</v>
      </c>
    </row>
    <row r="504" spans="1:13" ht="31.5" hidden="1">
      <c r="A504" s="111"/>
      <c r="B504" s="111"/>
      <c r="C504" s="23" t="s">
        <v>202</v>
      </c>
      <c r="D504" s="46" t="s">
        <v>203</v>
      </c>
      <c r="E504" s="52">
        <f t="shared" si="54"/>
        <v>0</v>
      </c>
      <c r="F504" s="52">
        <f t="shared" si="54"/>
        <v>0</v>
      </c>
      <c r="G504" s="52">
        <f t="shared" si="54"/>
        <v>0</v>
      </c>
      <c r="H504" s="52">
        <f t="shared" si="54"/>
        <v>0</v>
      </c>
      <c r="I504" s="33">
        <f t="shared" si="46"/>
        <v>0</v>
      </c>
      <c r="J504" s="33" t="e">
        <f t="shared" si="52"/>
        <v>#DIV/0!</v>
      </c>
      <c r="K504" s="33" t="e">
        <f t="shared" si="53"/>
        <v>#DIV/0!</v>
      </c>
      <c r="L504" s="33">
        <f t="shared" si="47"/>
        <v>0</v>
      </c>
      <c r="M504" s="33" t="e">
        <f t="shared" si="48"/>
        <v>#DIV/0!</v>
      </c>
    </row>
    <row r="505" spans="1:13" ht="15.75" hidden="1">
      <c r="A505" s="111"/>
      <c r="B505" s="111"/>
      <c r="C505" s="23" t="s">
        <v>70</v>
      </c>
      <c r="D505" s="34" t="s">
        <v>71</v>
      </c>
      <c r="E505" s="52">
        <f t="shared" si="54"/>
        <v>0</v>
      </c>
      <c r="F505" s="52">
        <f t="shared" si="54"/>
        <v>0</v>
      </c>
      <c r="G505" s="52">
        <f t="shared" si="54"/>
        <v>0</v>
      </c>
      <c r="H505" s="52">
        <f t="shared" si="54"/>
        <v>0</v>
      </c>
      <c r="I505" s="33">
        <f t="shared" si="46"/>
        <v>0</v>
      </c>
      <c r="J505" s="33" t="e">
        <f t="shared" si="52"/>
        <v>#DIV/0!</v>
      </c>
      <c r="K505" s="33" t="e">
        <f t="shared" si="53"/>
        <v>#DIV/0!</v>
      </c>
      <c r="L505" s="33">
        <f t="shared" si="47"/>
        <v>0</v>
      </c>
      <c r="M505" s="33" t="e">
        <f t="shared" si="48"/>
        <v>#DIV/0!</v>
      </c>
    </row>
    <row r="506" spans="1:13" ht="15.75" hidden="1">
      <c r="A506" s="111"/>
      <c r="B506" s="111"/>
      <c r="C506" s="23" t="s">
        <v>43</v>
      </c>
      <c r="D506" s="34" t="s">
        <v>38</v>
      </c>
      <c r="E506" s="52">
        <f>SUMIF($C$6:$C$429,$C506,E$6:E$429)</f>
        <v>-135523.5</v>
      </c>
      <c r="F506" s="52"/>
      <c r="G506" s="52"/>
      <c r="H506" s="52">
        <f>SUMIF($C$6:$C$429,$C506,H$6:H$429)</f>
        <v>-97230.29999999999</v>
      </c>
      <c r="I506" s="33">
        <f t="shared" si="46"/>
        <v>-97230.29999999999</v>
      </c>
      <c r="J506" s="33"/>
      <c r="K506" s="33"/>
      <c r="L506" s="33">
        <f t="shared" si="47"/>
        <v>38293.20000000001</v>
      </c>
      <c r="M506" s="33">
        <f t="shared" si="48"/>
        <v>71.74423623947138</v>
      </c>
    </row>
    <row r="507" spans="1:13" s="5" customFormat="1" ht="15.75" hidden="1">
      <c r="A507" s="111"/>
      <c r="B507" s="111"/>
      <c r="C507" s="24"/>
      <c r="D507" s="10" t="s">
        <v>214</v>
      </c>
      <c r="E507" s="8">
        <f>E508-E506</f>
        <v>10922217.499999998</v>
      </c>
      <c r="F507" s="8">
        <f>F508-F506</f>
        <v>22430229.900000002</v>
      </c>
      <c r="G507" s="8">
        <f>G508-G506</f>
        <v>11833748.799999999</v>
      </c>
      <c r="H507" s="8">
        <f>H508-H506</f>
        <v>11593494.5</v>
      </c>
      <c r="I507" s="4">
        <f t="shared" si="46"/>
        <v>-240254.29999999888</v>
      </c>
      <c r="J507" s="4">
        <f>H507/G507*100</f>
        <v>97.96975325350832</v>
      </c>
      <c r="K507" s="4">
        <f>H507/F507*100</f>
        <v>51.686917841176474</v>
      </c>
      <c r="L507" s="4">
        <f t="shared" si="47"/>
        <v>671277.0000000019</v>
      </c>
      <c r="M507" s="4">
        <f t="shared" si="48"/>
        <v>106.145977224863</v>
      </c>
    </row>
    <row r="508" spans="1:13" s="5" customFormat="1" ht="15.75" hidden="1">
      <c r="A508" s="111"/>
      <c r="B508" s="111"/>
      <c r="C508" s="24"/>
      <c r="D508" s="10" t="s">
        <v>207</v>
      </c>
      <c r="E508" s="8">
        <f>E497+E499</f>
        <v>10786693.999999998</v>
      </c>
      <c r="F508" s="8">
        <f>F497+F499</f>
        <v>22430229.900000002</v>
      </c>
      <c r="G508" s="8">
        <f>G497+G499</f>
        <v>11833748.799999999</v>
      </c>
      <c r="H508" s="8">
        <f>H497+H499</f>
        <v>11496264.2</v>
      </c>
      <c r="I508" s="4">
        <f t="shared" si="46"/>
        <v>-337484.5999999996</v>
      </c>
      <c r="J508" s="4">
        <f>H508/G508*100</f>
        <v>97.14811759397833</v>
      </c>
      <c r="K508" s="4">
        <f>H508/F508*100</f>
        <v>51.253439002869946</v>
      </c>
      <c r="L508" s="4">
        <f t="shared" si="47"/>
        <v>709570.2000000011</v>
      </c>
      <c r="M508" s="4">
        <f t="shared" si="48"/>
        <v>106.57819902928554</v>
      </c>
    </row>
    <row r="509" spans="1:13" s="5" customFormat="1" ht="31.5" hidden="1">
      <c r="A509" s="14"/>
      <c r="B509" s="14"/>
      <c r="C509" s="25"/>
      <c r="D509" s="3" t="s">
        <v>185</v>
      </c>
      <c r="E509" s="11">
        <f>E510</f>
        <v>0</v>
      </c>
      <c r="F509" s="11">
        <f>F510</f>
        <v>0</v>
      </c>
      <c r="G509" s="11">
        <f>G510</f>
        <v>0</v>
      </c>
      <c r="H509" s="11">
        <f>H510</f>
        <v>0</v>
      </c>
      <c r="I509" s="4">
        <f t="shared" si="46"/>
        <v>0</v>
      </c>
      <c r="J509" s="4" t="e">
        <f>H509/G509*100</f>
        <v>#DIV/0!</v>
      </c>
      <c r="K509" s="4" t="e">
        <f>H509/F509*100</f>
        <v>#DIV/0!</v>
      </c>
      <c r="L509" s="4">
        <f t="shared" si="47"/>
        <v>0</v>
      </c>
      <c r="M509" s="4" t="e">
        <f t="shared" si="48"/>
        <v>#DIV/0!</v>
      </c>
    </row>
    <row r="510" spans="1:13" ht="31.5" hidden="1">
      <c r="A510" s="9"/>
      <c r="B510" s="9"/>
      <c r="C510" s="22" t="s">
        <v>186</v>
      </c>
      <c r="D510" s="36" t="s">
        <v>187</v>
      </c>
      <c r="E510" s="52">
        <f>SUMIF($C$6:$C$437,$C510,E$6:E$437)</f>
        <v>0</v>
      </c>
      <c r="F510" s="54">
        <f>F437</f>
        <v>0</v>
      </c>
      <c r="G510" s="54">
        <f>G437</f>
        <v>0</v>
      </c>
      <c r="H510" s="52">
        <f>SUMIF($C$6:$C$437,$C510,H$6:H$437)</f>
        <v>0</v>
      </c>
      <c r="I510" s="33">
        <f t="shared" si="46"/>
        <v>0</v>
      </c>
      <c r="J510" s="33" t="e">
        <f>H510/G510*100</f>
        <v>#DIV/0!</v>
      </c>
      <c r="K510" s="33" t="e">
        <f>H510/F510*100</f>
        <v>#DIV/0!</v>
      </c>
      <c r="L510" s="33">
        <f t="shared" si="47"/>
        <v>0</v>
      </c>
      <c r="M510" s="33" t="e">
        <f t="shared" si="48"/>
        <v>#DIV/0!</v>
      </c>
    </row>
    <row r="511" spans="1:11" ht="15.75">
      <c r="A511" s="12"/>
      <c r="B511" s="12"/>
      <c r="C511" s="29"/>
      <c r="D511" s="2"/>
      <c r="E511" s="15"/>
      <c r="F511" s="15"/>
      <c r="G511" s="15"/>
      <c r="H511" s="57"/>
      <c r="I511" s="59"/>
      <c r="J511" s="41"/>
      <c r="K511" s="41"/>
    </row>
    <row r="512" spans="1:11" ht="15.75">
      <c r="A512" s="12"/>
      <c r="B512" s="12"/>
      <c r="C512" s="29"/>
      <c r="D512" s="2"/>
      <c r="E512" s="15"/>
      <c r="F512" s="15"/>
      <c r="G512" s="15"/>
      <c r="H512" s="57"/>
      <c r="I512" s="59"/>
      <c r="J512" s="41"/>
      <c r="K512" s="41"/>
    </row>
    <row r="513" spans="1:11" ht="15.75">
      <c r="A513" s="12"/>
      <c r="B513" s="12"/>
      <c r="C513" s="29"/>
      <c r="D513" s="2"/>
      <c r="E513" s="15"/>
      <c r="F513" s="15"/>
      <c r="G513" s="15"/>
      <c r="H513" s="57"/>
      <c r="I513" s="59"/>
      <c r="J513" s="41"/>
      <c r="K513" s="41"/>
    </row>
    <row r="514" spans="1:9" ht="15.75">
      <c r="A514" s="16"/>
      <c r="B514" s="17"/>
      <c r="C514" s="30"/>
      <c r="D514" s="60"/>
      <c r="E514" s="61"/>
      <c r="F514" s="61"/>
      <c r="G514" s="61"/>
      <c r="H514" s="61"/>
      <c r="I514" s="62"/>
    </row>
    <row r="515" spans="1:9" ht="15.75">
      <c r="A515" s="16"/>
      <c r="B515" s="17"/>
      <c r="C515" s="30"/>
      <c r="D515" s="60"/>
      <c r="E515" s="61"/>
      <c r="F515" s="61"/>
      <c r="G515" s="61"/>
      <c r="H515" s="61"/>
      <c r="I515" s="62"/>
    </row>
    <row r="516" spans="1:9" ht="15.75">
      <c r="A516" s="16"/>
      <c r="B516" s="17"/>
      <c r="C516" s="30"/>
      <c r="D516" s="60"/>
      <c r="E516" s="61"/>
      <c r="F516" s="61"/>
      <c r="G516" s="61"/>
      <c r="H516" s="61"/>
      <c r="I516" s="62"/>
    </row>
    <row r="517" spans="1:9" ht="15.75">
      <c r="A517" s="16"/>
      <c r="B517" s="17"/>
      <c r="C517" s="30"/>
      <c r="D517" s="60"/>
      <c r="E517" s="61"/>
      <c r="F517" s="61"/>
      <c r="G517" s="61"/>
      <c r="H517" s="61"/>
      <c r="I517" s="62"/>
    </row>
    <row r="518" spans="1:9" ht="15.75">
      <c r="A518" s="16"/>
      <c r="B518" s="17"/>
      <c r="C518" s="30"/>
      <c r="D518" s="60"/>
      <c r="E518" s="61"/>
      <c r="F518" s="61"/>
      <c r="G518" s="61"/>
      <c r="H518" s="61"/>
      <c r="I518" s="62"/>
    </row>
    <row r="519" spans="1:8" ht="15.75">
      <c r="A519" s="18"/>
      <c r="B519" s="17"/>
      <c r="C519" s="30"/>
      <c r="D519" s="60"/>
      <c r="E519" s="61"/>
      <c r="F519" s="61"/>
      <c r="G519" s="61"/>
      <c r="H519" s="61"/>
    </row>
    <row r="520" spans="1:8" ht="15.75">
      <c r="A520" s="18"/>
      <c r="B520" s="17"/>
      <c r="C520" s="30"/>
      <c r="D520" s="60"/>
      <c r="E520" s="61"/>
      <c r="F520" s="61"/>
      <c r="G520" s="61"/>
      <c r="H520" s="61"/>
    </row>
    <row r="521" spans="1:8" ht="15.75">
      <c r="A521" s="18"/>
      <c r="B521" s="17"/>
      <c r="C521" s="30"/>
      <c r="D521" s="60"/>
      <c r="E521" s="61"/>
      <c r="F521" s="61"/>
      <c r="G521" s="61"/>
      <c r="H521" s="61"/>
    </row>
    <row r="522" spans="1:8" ht="15.75">
      <c r="A522" s="18"/>
      <c r="B522" s="17"/>
      <c r="C522" s="30"/>
      <c r="D522" s="60"/>
      <c r="E522" s="61"/>
      <c r="F522" s="61"/>
      <c r="G522" s="61"/>
      <c r="H522" s="61"/>
    </row>
    <row r="523" spans="1:8" ht="15.75">
      <c r="A523" s="18"/>
      <c r="B523" s="17"/>
      <c r="C523" s="30"/>
      <c r="D523" s="60"/>
      <c r="E523" s="61"/>
      <c r="F523" s="61"/>
      <c r="G523" s="61"/>
      <c r="H523" s="61"/>
    </row>
    <row r="524" spans="1:8" ht="15.75">
      <c r="A524" s="18"/>
      <c r="B524" s="17"/>
      <c r="C524" s="30"/>
      <c r="D524" s="60"/>
      <c r="E524" s="61"/>
      <c r="F524" s="61"/>
      <c r="G524" s="61"/>
      <c r="H524" s="61"/>
    </row>
    <row r="525" spans="1:8" ht="15.75">
      <c r="A525" s="18"/>
      <c r="B525" s="17"/>
      <c r="C525" s="30"/>
      <c r="D525" s="60"/>
      <c r="E525" s="61"/>
      <c r="F525" s="61"/>
      <c r="G525" s="61"/>
      <c r="H525" s="61"/>
    </row>
    <row r="526" spans="1:8" ht="15.75">
      <c r="A526" s="18"/>
      <c r="B526" s="17"/>
      <c r="C526" s="30"/>
      <c r="D526" s="60"/>
      <c r="E526" s="61"/>
      <c r="F526" s="61"/>
      <c r="G526" s="61"/>
      <c r="H526" s="61"/>
    </row>
    <row r="527" spans="1:8" ht="15.75">
      <c r="A527" s="18"/>
      <c r="B527" s="17"/>
      <c r="C527" s="30"/>
      <c r="D527" s="60"/>
      <c r="E527" s="61"/>
      <c r="F527" s="61"/>
      <c r="G527" s="61"/>
      <c r="H527" s="61"/>
    </row>
    <row r="528" spans="1:8" ht="15.75">
      <c r="A528" s="18"/>
      <c r="B528" s="17"/>
      <c r="C528" s="30"/>
      <c r="D528" s="60"/>
      <c r="E528" s="61"/>
      <c r="F528" s="61"/>
      <c r="G528" s="61"/>
      <c r="H528" s="61"/>
    </row>
    <row r="529" spans="1:8" ht="15.75">
      <c r="A529" s="18"/>
      <c r="B529" s="17"/>
      <c r="C529" s="30"/>
      <c r="D529" s="60"/>
      <c r="E529" s="61"/>
      <c r="F529" s="61"/>
      <c r="G529" s="61"/>
      <c r="H529" s="61"/>
    </row>
    <row r="530" spans="1:8" ht="15.75">
      <c r="A530" s="18"/>
      <c r="B530" s="17"/>
      <c r="C530" s="30"/>
      <c r="D530" s="60"/>
      <c r="E530" s="61"/>
      <c r="F530" s="61"/>
      <c r="G530" s="61"/>
      <c r="H530" s="61"/>
    </row>
    <row r="531" spans="1:8" ht="15.75">
      <c r="A531" s="18"/>
      <c r="B531" s="17"/>
      <c r="C531" s="30"/>
      <c r="D531" s="60"/>
      <c r="E531" s="61"/>
      <c r="F531" s="61"/>
      <c r="G531" s="61"/>
      <c r="H531" s="61"/>
    </row>
    <row r="532" spans="1:8" ht="15.75">
      <c r="A532" s="18"/>
      <c r="B532" s="17"/>
      <c r="C532" s="30"/>
      <c r="D532" s="60"/>
      <c r="E532" s="61"/>
      <c r="F532" s="61"/>
      <c r="G532" s="61"/>
      <c r="H532" s="61"/>
    </row>
    <row r="533" spans="1:8" ht="15.75">
      <c r="A533" s="18"/>
      <c r="B533" s="17"/>
      <c r="C533" s="30"/>
      <c r="D533" s="60"/>
      <c r="E533" s="61"/>
      <c r="F533" s="61"/>
      <c r="G533" s="61"/>
      <c r="H533" s="61"/>
    </row>
    <row r="534" spans="1:8" ht="15.75">
      <c r="A534" s="18"/>
      <c r="B534" s="17"/>
      <c r="C534" s="30"/>
      <c r="D534" s="60"/>
      <c r="E534" s="61"/>
      <c r="F534" s="61"/>
      <c r="G534" s="61"/>
      <c r="H534" s="61"/>
    </row>
    <row r="535" spans="1:8" ht="15.75">
      <c r="A535" s="18"/>
      <c r="B535" s="17"/>
      <c r="C535" s="30"/>
      <c r="D535" s="60"/>
      <c r="E535" s="61"/>
      <c r="F535" s="61"/>
      <c r="G535" s="61"/>
      <c r="H535" s="61"/>
    </row>
    <row r="536" spans="1:8" ht="15.75">
      <c r="A536" s="18"/>
      <c r="B536" s="17"/>
      <c r="C536" s="30"/>
      <c r="D536" s="60"/>
      <c r="E536" s="61"/>
      <c r="F536" s="61"/>
      <c r="G536" s="61"/>
      <c r="H536" s="61"/>
    </row>
    <row r="537" spans="1:8" ht="15.75">
      <c r="A537" s="18"/>
      <c r="B537" s="17"/>
      <c r="C537" s="30"/>
      <c r="D537" s="60"/>
      <c r="E537" s="61"/>
      <c r="F537" s="61"/>
      <c r="G537" s="61"/>
      <c r="H537" s="61"/>
    </row>
    <row r="538" spans="1:8" ht="15.75">
      <c r="A538" s="18"/>
      <c r="B538" s="17"/>
      <c r="C538" s="30"/>
      <c r="D538" s="60"/>
      <c r="E538" s="61"/>
      <c r="F538" s="61"/>
      <c r="G538" s="61"/>
      <c r="H538" s="61"/>
    </row>
    <row r="539" spans="1:8" ht="15.75">
      <c r="A539" s="18"/>
      <c r="B539" s="17"/>
      <c r="C539" s="30"/>
      <c r="D539" s="60"/>
      <c r="E539" s="61"/>
      <c r="F539" s="61"/>
      <c r="G539" s="61"/>
      <c r="H539" s="61"/>
    </row>
    <row r="540" spans="1:8" ht="15.75">
      <c r="A540" s="18"/>
      <c r="B540" s="17"/>
      <c r="C540" s="30"/>
      <c r="D540" s="60"/>
      <c r="E540" s="61"/>
      <c r="F540" s="61"/>
      <c r="G540" s="61"/>
      <c r="H540" s="61"/>
    </row>
    <row r="541" spans="1:8" ht="15.75">
      <c r="A541" s="18"/>
      <c r="B541" s="17"/>
      <c r="C541" s="30"/>
      <c r="D541" s="60"/>
      <c r="E541" s="61"/>
      <c r="F541" s="61"/>
      <c r="G541" s="61"/>
      <c r="H541" s="61"/>
    </row>
    <row r="542" spans="1:8" ht="15.75">
      <c r="A542" s="18"/>
      <c r="B542" s="17"/>
      <c r="C542" s="30"/>
      <c r="D542" s="60"/>
      <c r="E542" s="61"/>
      <c r="F542" s="61"/>
      <c r="G542" s="61"/>
      <c r="H542" s="61"/>
    </row>
    <row r="543" spans="2:8" ht="15.75">
      <c r="B543" s="63"/>
      <c r="C543" s="30"/>
      <c r="D543" s="60"/>
      <c r="E543" s="61"/>
      <c r="F543" s="61"/>
      <c r="G543" s="61"/>
      <c r="H543" s="61"/>
    </row>
    <row r="544" spans="2:8" ht="15.75">
      <c r="B544" s="63"/>
      <c r="C544" s="30"/>
      <c r="D544" s="60"/>
      <c r="E544" s="61"/>
      <c r="F544" s="61"/>
      <c r="G544" s="61"/>
      <c r="H544" s="61"/>
    </row>
    <row r="545" spans="2:8" ht="15.75">
      <c r="B545" s="63"/>
      <c r="C545" s="30"/>
      <c r="D545" s="60"/>
      <c r="E545" s="61"/>
      <c r="F545" s="61"/>
      <c r="G545" s="61"/>
      <c r="H545" s="61"/>
    </row>
    <row r="546" spans="2:8" ht="15.75">
      <c r="B546" s="63"/>
      <c r="C546" s="30"/>
      <c r="D546" s="60"/>
      <c r="E546" s="61"/>
      <c r="F546" s="61"/>
      <c r="G546" s="61"/>
      <c r="H546" s="61"/>
    </row>
    <row r="547" spans="2:8" ht="15.75">
      <c r="B547" s="63"/>
      <c r="C547" s="30"/>
      <c r="D547" s="60"/>
      <c r="E547" s="61"/>
      <c r="F547" s="61"/>
      <c r="G547" s="61"/>
      <c r="H547" s="61"/>
    </row>
    <row r="548" spans="2:8" ht="15.75">
      <c r="B548" s="63"/>
      <c r="C548" s="30"/>
      <c r="D548" s="60"/>
      <c r="E548" s="61"/>
      <c r="F548" s="61"/>
      <c r="G548" s="61"/>
      <c r="H548" s="61"/>
    </row>
    <row r="549" spans="2:8" ht="15.75">
      <c r="B549" s="63"/>
      <c r="C549" s="30"/>
      <c r="D549" s="60"/>
      <c r="E549" s="61"/>
      <c r="F549" s="61"/>
      <c r="G549" s="61"/>
      <c r="H549" s="61"/>
    </row>
    <row r="550" spans="2:8" ht="15.75">
      <c r="B550" s="63"/>
      <c r="C550" s="30"/>
      <c r="D550" s="60"/>
      <c r="E550" s="61"/>
      <c r="F550" s="61"/>
      <c r="G550" s="61"/>
      <c r="H550" s="61"/>
    </row>
    <row r="551" spans="2:8" ht="15.75">
      <c r="B551" s="63"/>
      <c r="C551" s="30"/>
      <c r="D551" s="60"/>
      <c r="E551" s="61"/>
      <c r="F551" s="61"/>
      <c r="G551" s="61"/>
      <c r="H551" s="61"/>
    </row>
    <row r="552" spans="2:8" ht="15.75">
      <c r="B552" s="63"/>
      <c r="C552" s="30"/>
      <c r="D552" s="60"/>
      <c r="E552" s="61"/>
      <c r="F552" s="61"/>
      <c r="G552" s="61"/>
      <c r="H552" s="61"/>
    </row>
    <row r="553" spans="2:8" ht="15.75">
      <c r="B553" s="63"/>
      <c r="C553" s="30"/>
      <c r="D553" s="60"/>
      <c r="E553" s="61"/>
      <c r="F553" s="61"/>
      <c r="G553" s="61"/>
      <c r="H553" s="61"/>
    </row>
    <row r="554" spans="2:8" ht="15.75">
      <c r="B554" s="63"/>
      <c r="C554" s="30"/>
      <c r="D554" s="60"/>
      <c r="E554" s="61"/>
      <c r="F554" s="61"/>
      <c r="G554" s="61"/>
      <c r="H554" s="61"/>
    </row>
    <row r="555" spans="2:8" ht="15.75">
      <c r="B555" s="63"/>
      <c r="C555" s="30"/>
      <c r="D555" s="60"/>
      <c r="E555" s="61"/>
      <c r="F555" s="61"/>
      <c r="G555" s="61"/>
      <c r="H555" s="61"/>
    </row>
    <row r="556" spans="2:8" ht="15.75">
      <c r="B556" s="63"/>
      <c r="C556" s="30"/>
      <c r="D556" s="60"/>
      <c r="E556" s="61"/>
      <c r="F556" s="61"/>
      <c r="G556" s="61"/>
      <c r="H556" s="61"/>
    </row>
    <row r="557" spans="2:8" ht="15.75">
      <c r="B557" s="63"/>
      <c r="C557" s="30"/>
      <c r="D557" s="60"/>
      <c r="E557" s="61"/>
      <c r="F557" s="61"/>
      <c r="G557" s="61"/>
      <c r="H557" s="61"/>
    </row>
    <row r="558" spans="2:8" ht="15.75">
      <c r="B558" s="63"/>
      <c r="C558" s="30"/>
      <c r="D558" s="60"/>
      <c r="E558" s="61"/>
      <c r="F558" s="61"/>
      <c r="G558" s="61"/>
      <c r="H558" s="61"/>
    </row>
    <row r="559" spans="2:8" ht="15.75">
      <c r="B559" s="63"/>
      <c r="C559" s="30"/>
      <c r="D559" s="60"/>
      <c r="E559" s="61"/>
      <c r="F559" s="61"/>
      <c r="G559" s="61"/>
      <c r="H559" s="61"/>
    </row>
    <row r="560" spans="2:8" ht="15.75">
      <c r="B560" s="63"/>
      <c r="C560" s="30"/>
      <c r="D560" s="60"/>
      <c r="E560" s="61"/>
      <c r="F560" s="61"/>
      <c r="G560" s="61"/>
      <c r="H560" s="61"/>
    </row>
    <row r="561" spans="2:8" ht="15.75">
      <c r="B561" s="63"/>
      <c r="C561" s="30"/>
      <c r="D561" s="60"/>
      <c r="E561" s="61"/>
      <c r="F561" s="61"/>
      <c r="G561" s="61"/>
      <c r="H561" s="61"/>
    </row>
    <row r="562" spans="2:8" ht="15.75">
      <c r="B562" s="63"/>
      <c r="C562" s="30"/>
      <c r="D562" s="60"/>
      <c r="E562" s="61"/>
      <c r="F562" s="61"/>
      <c r="G562" s="61"/>
      <c r="H562" s="61"/>
    </row>
    <row r="563" spans="2:8" ht="15.75">
      <c r="B563" s="63"/>
      <c r="C563" s="30"/>
      <c r="D563" s="60"/>
      <c r="E563" s="61"/>
      <c r="F563" s="61"/>
      <c r="G563" s="61"/>
      <c r="H563" s="61"/>
    </row>
    <row r="564" spans="2:8" ht="15.75">
      <c r="B564" s="63"/>
      <c r="C564" s="30"/>
      <c r="D564" s="60"/>
      <c r="E564" s="61"/>
      <c r="F564" s="61"/>
      <c r="G564" s="61"/>
      <c r="H564" s="61"/>
    </row>
    <row r="565" spans="2:8" ht="15.75">
      <c r="B565" s="63"/>
      <c r="C565" s="30"/>
      <c r="D565" s="60"/>
      <c r="E565" s="61"/>
      <c r="F565" s="61"/>
      <c r="G565" s="61"/>
      <c r="H565" s="61"/>
    </row>
    <row r="566" spans="2:8" ht="15.75">
      <c r="B566" s="63"/>
      <c r="C566" s="30"/>
      <c r="D566" s="60"/>
      <c r="E566" s="61"/>
      <c r="F566" s="61"/>
      <c r="G566" s="61"/>
      <c r="H566" s="61"/>
    </row>
    <row r="567" spans="2:8" ht="15.75">
      <c r="B567" s="63"/>
      <c r="C567" s="30"/>
      <c r="D567" s="60"/>
      <c r="E567" s="61"/>
      <c r="F567" s="61"/>
      <c r="G567" s="61"/>
      <c r="H567" s="61"/>
    </row>
    <row r="568" spans="2:8" ht="15.75">
      <c r="B568" s="63"/>
      <c r="C568" s="30"/>
      <c r="D568" s="60"/>
      <c r="E568" s="61"/>
      <c r="F568" s="61"/>
      <c r="G568" s="61"/>
      <c r="H568" s="61"/>
    </row>
    <row r="569" spans="2:8" ht="15.75">
      <c r="B569" s="63"/>
      <c r="C569" s="30"/>
      <c r="D569" s="60"/>
      <c r="E569" s="61"/>
      <c r="F569" s="61"/>
      <c r="G569" s="61"/>
      <c r="H569" s="61"/>
    </row>
    <row r="570" spans="2:8" ht="15.75">
      <c r="B570" s="63"/>
      <c r="C570" s="30"/>
      <c r="D570" s="60"/>
      <c r="E570" s="61"/>
      <c r="F570" s="61"/>
      <c r="G570" s="61"/>
      <c r="H570" s="61"/>
    </row>
    <row r="571" spans="2:8" ht="15.75">
      <c r="B571" s="63"/>
      <c r="C571" s="30"/>
      <c r="D571" s="60"/>
      <c r="E571" s="61"/>
      <c r="F571" s="61"/>
      <c r="G571" s="61"/>
      <c r="H571" s="61"/>
    </row>
    <row r="572" spans="2:8" ht="15.75">
      <c r="B572" s="63"/>
      <c r="C572" s="30"/>
      <c r="D572" s="60"/>
      <c r="E572" s="61"/>
      <c r="F572" s="61"/>
      <c r="G572" s="61"/>
      <c r="H572" s="61"/>
    </row>
    <row r="573" spans="2:8" ht="15.75">
      <c r="B573" s="63"/>
      <c r="C573" s="30"/>
      <c r="D573" s="60"/>
      <c r="E573" s="61"/>
      <c r="F573" s="61"/>
      <c r="G573" s="61"/>
      <c r="H573" s="61"/>
    </row>
    <row r="574" spans="2:8" ht="15.75">
      <c r="B574" s="63"/>
      <c r="C574" s="30"/>
      <c r="D574" s="60"/>
      <c r="E574" s="61"/>
      <c r="F574" s="61"/>
      <c r="G574" s="61"/>
      <c r="H574" s="61"/>
    </row>
    <row r="575" spans="2:8" ht="15.75">
      <c r="B575" s="63"/>
      <c r="C575" s="30"/>
      <c r="D575" s="60"/>
      <c r="E575" s="61"/>
      <c r="F575" s="61"/>
      <c r="G575" s="61"/>
      <c r="H575" s="61"/>
    </row>
    <row r="576" spans="2:8" ht="15.75">
      <c r="B576" s="63"/>
      <c r="C576" s="30"/>
      <c r="D576" s="60"/>
      <c r="E576" s="61"/>
      <c r="F576" s="61"/>
      <c r="G576" s="61"/>
      <c r="H576" s="61"/>
    </row>
    <row r="577" spans="2:8" ht="15.75">
      <c r="B577" s="63"/>
      <c r="C577" s="30"/>
      <c r="D577" s="60"/>
      <c r="E577" s="61"/>
      <c r="F577" s="61"/>
      <c r="G577" s="61"/>
      <c r="H577" s="61"/>
    </row>
    <row r="578" spans="2:8" ht="15.75">
      <c r="B578" s="63"/>
      <c r="C578" s="30"/>
      <c r="D578" s="60"/>
      <c r="E578" s="61"/>
      <c r="F578" s="61"/>
      <c r="G578" s="61"/>
      <c r="H578" s="61"/>
    </row>
    <row r="579" spans="2:8" ht="15.75">
      <c r="B579" s="63"/>
      <c r="C579" s="30"/>
      <c r="D579" s="60"/>
      <c r="E579" s="61"/>
      <c r="F579" s="61"/>
      <c r="G579" s="61"/>
      <c r="H579" s="61"/>
    </row>
    <row r="580" spans="2:8" ht="15.75">
      <c r="B580" s="63"/>
      <c r="C580" s="30"/>
      <c r="D580" s="60"/>
      <c r="E580" s="61"/>
      <c r="F580" s="61"/>
      <c r="G580" s="61"/>
      <c r="H580" s="61"/>
    </row>
    <row r="581" spans="2:8" ht="15.75">
      <c r="B581" s="63"/>
      <c r="C581" s="30"/>
      <c r="D581" s="60"/>
      <c r="E581" s="61"/>
      <c r="F581" s="61"/>
      <c r="G581" s="61"/>
      <c r="H581" s="61"/>
    </row>
    <row r="582" spans="2:8" ht="15.75">
      <c r="B582" s="63"/>
      <c r="C582" s="30"/>
      <c r="D582" s="60"/>
      <c r="E582" s="61"/>
      <c r="F582" s="61"/>
      <c r="G582" s="61"/>
      <c r="H582" s="61"/>
    </row>
    <row r="583" spans="2:8" ht="15.75">
      <c r="B583" s="63"/>
      <c r="C583" s="30"/>
      <c r="D583" s="60"/>
      <c r="E583" s="61"/>
      <c r="F583" s="61"/>
      <c r="G583" s="61"/>
      <c r="H583" s="61"/>
    </row>
    <row r="584" spans="2:8" ht="15.75">
      <c r="B584" s="63"/>
      <c r="C584" s="30"/>
      <c r="D584" s="60"/>
      <c r="E584" s="61"/>
      <c r="F584" s="61"/>
      <c r="G584" s="61"/>
      <c r="H584" s="61"/>
    </row>
    <row r="585" spans="2:8" ht="15.75">
      <c r="B585" s="63"/>
      <c r="C585" s="30"/>
      <c r="D585" s="60"/>
      <c r="E585" s="61"/>
      <c r="F585" s="61"/>
      <c r="G585" s="61"/>
      <c r="H585" s="61"/>
    </row>
    <row r="586" spans="2:8" ht="15.75">
      <c r="B586" s="63"/>
      <c r="C586" s="30"/>
      <c r="D586" s="60"/>
      <c r="E586" s="61"/>
      <c r="F586" s="61"/>
      <c r="G586" s="61"/>
      <c r="H586" s="61"/>
    </row>
    <row r="587" spans="2:8" ht="15.75">
      <c r="B587" s="63"/>
      <c r="C587" s="30"/>
      <c r="D587" s="60"/>
      <c r="E587" s="61"/>
      <c r="F587" s="61"/>
      <c r="G587" s="61"/>
      <c r="H587" s="61"/>
    </row>
    <row r="588" spans="2:8" ht="15.75">
      <c r="B588" s="63"/>
      <c r="C588" s="30"/>
      <c r="D588" s="60"/>
      <c r="E588" s="61"/>
      <c r="F588" s="61"/>
      <c r="G588" s="61"/>
      <c r="H588" s="61"/>
    </row>
    <row r="589" spans="2:8" ht="15.75">
      <c r="B589" s="63"/>
      <c r="C589" s="30"/>
      <c r="D589" s="60"/>
      <c r="E589" s="61"/>
      <c r="F589" s="61"/>
      <c r="G589" s="61"/>
      <c r="H589" s="61"/>
    </row>
    <row r="590" spans="2:8" ht="15.75">
      <c r="B590" s="63"/>
      <c r="C590" s="30"/>
      <c r="D590" s="60"/>
      <c r="E590" s="61"/>
      <c r="F590" s="61"/>
      <c r="G590" s="61"/>
      <c r="H590" s="61"/>
    </row>
    <row r="591" spans="2:8" ht="15.75">
      <c r="B591" s="63"/>
      <c r="C591" s="30"/>
      <c r="D591" s="60"/>
      <c r="E591" s="61"/>
      <c r="F591" s="61"/>
      <c r="G591" s="61"/>
      <c r="H591" s="61"/>
    </row>
    <row r="592" spans="2:8" ht="15.75">
      <c r="B592" s="63"/>
      <c r="C592" s="30"/>
      <c r="D592" s="60"/>
      <c r="E592" s="61"/>
      <c r="F592" s="61"/>
      <c r="G592" s="61"/>
      <c r="H592" s="61"/>
    </row>
    <row r="593" spans="2:8" ht="15.75">
      <c r="B593" s="63"/>
      <c r="C593" s="30"/>
      <c r="D593" s="60"/>
      <c r="E593" s="61"/>
      <c r="F593" s="61"/>
      <c r="G593" s="61"/>
      <c r="H593" s="61"/>
    </row>
    <row r="594" spans="2:8" ht="15.75">
      <c r="B594" s="63"/>
      <c r="C594" s="30"/>
      <c r="D594" s="64"/>
      <c r="E594" s="61"/>
      <c r="F594" s="61"/>
      <c r="G594" s="61"/>
      <c r="H594" s="61"/>
    </row>
    <row r="595" spans="2:8" ht="15.75">
      <c r="B595" s="63"/>
      <c r="C595" s="30"/>
      <c r="D595" s="64"/>
      <c r="E595" s="61"/>
      <c r="F595" s="61"/>
      <c r="G595" s="61"/>
      <c r="H595" s="61"/>
    </row>
    <row r="596" spans="2:8" ht="15.75">
      <c r="B596" s="63"/>
      <c r="C596" s="30"/>
      <c r="D596" s="64"/>
      <c r="E596" s="61"/>
      <c r="F596" s="61"/>
      <c r="G596" s="61"/>
      <c r="H596" s="61"/>
    </row>
    <row r="597" spans="2:8" ht="15.75">
      <c r="B597" s="63"/>
      <c r="C597" s="30"/>
      <c r="D597" s="64"/>
      <c r="E597" s="61"/>
      <c r="F597" s="61"/>
      <c r="G597" s="61"/>
      <c r="H597" s="61"/>
    </row>
    <row r="598" spans="2:8" ht="15.75">
      <c r="B598" s="63"/>
      <c r="C598" s="30"/>
      <c r="D598" s="64"/>
      <c r="E598" s="61"/>
      <c r="F598" s="61"/>
      <c r="G598" s="61"/>
      <c r="H598" s="61"/>
    </row>
    <row r="599" spans="2:8" ht="15.75">
      <c r="B599" s="63"/>
      <c r="C599" s="30"/>
      <c r="D599" s="64"/>
      <c r="E599" s="61"/>
      <c r="F599" s="61"/>
      <c r="G599" s="61"/>
      <c r="H599" s="61"/>
    </row>
    <row r="600" spans="2:8" ht="15.75">
      <c r="B600" s="63"/>
      <c r="C600" s="30"/>
      <c r="D600" s="64"/>
      <c r="E600" s="61"/>
      <c r="F600" s="61"/>
      <c r="G600" s="61"/>
      <c r="H600" s="61"/>
    </row>
    <row r="601" spans="2:8" ht="15.75">
      <c r="B601" s="63"/>
      <c r="C601" s="30"/>
      <c r="D601" s="64"/>
      <c r="E601" s="61"/>
      <c r="F601" s="61"/>
      <c r="G601" s="61"/>
      <c r="H601" s="61"/>
    </row>
    <row r="602" spans="2:8" ht="15.75">
      <c r="B602" s="63"/>
      <c r="C602" s="30"/>
      <c r="D602" s="64"/>
      <c r="E602" s="61"/>
      <c r="F602" s="61"/>
      <c r="G602" s="61"/>
      <c r="H602" s="61"/>
    </row>
    <row r="603" spans="2:8" ht="15.75">
      <c r="B603" s="63"/>
      <c r="C603" s="30"/>
      <c r="D603" s="64"/>
      <c r="E603" s="61"/>
      <c r="F603" s="61"/>
      <c r="G603" s="61"/>
      <c r="H603" s="61"/>
    </row>
    <row r="604" spans="2:8" ht="15.75">
      <c r="B604" s="63"/>
      <c r="C604" s="30"/>
      <c r="D604" s="64"/>
      <c r="E604" s="61"/>
      <c r="F604" s="61"/>
      <c r="G604" s="61"/>
      <c r="H604" s="61"/>
    </row>
    <row r="605" spans="2:8" ht="15.75">
      <c r="B605" s="63"/>
      <c r="C605" s="30"/>
      <c r="D605" s="64"/>
      <c r="E605" s="61"/>
      <c r="F605" s="61"/>
      <c r="G605" s="61"/>
      <c r="H605" s="61"/>
    </row>
    <row r="606" spans="2:8" ht="15.75">
      <c r="B606" s="63"/>
      <c r="C606" s="30"/>
      <c r="D606" s="64"/>
      <c r="E606" s="61"/>
      <c r="F606" s="61"/>
      <c r="G606" s="61"/>
      <c r="H606" s="61"/>
    </row>
    <row r="607" spans="2:8" ht="15.75">
      <c r="B607" s="63"/>
      <c r="C607" s="30"/>
      <c r="D607" s="64"/>
      <c r="E607" s="61"/>
      <c r="F607" s="61"/>
      <c r="G607" s="61"/>
      <c r="H607" s="61"/>
    </row>
    <row r="608" spans="2:8" ht="15.75">
      <c r="B608" s="63"/>
      <c r="C608" s="30"/>
      <c r="D608" s="64"/>
      <c r="E608" s="61"/>
      <c r="F608" s="61"/>
      <c r="G608" s="61"/>
      <c r="H608" s="61"/>
    </row>
    <row r="609" spans="2:8" ht="15.75">
      <c r="B609" s="63"/>
      <c r="C609" s="30"/>
      <c r="D609" s="64"/>
      <c r="E609" s="61"/>
      <c r="F609" s="61"/>
      <c r="G609" s="61"/>
      <c r="H609" s="61"/>
    </row>
    <row r="610" spans="2:8" ht="15.75">
      <c r="B610" s="63"/>
      <c r="C610" s="30"/>
      <c r="D610" s="64"/>
      <c r="E610" s="61"/>
      <c r="F610" s="61"/>
      <c r="G610" s="61"/>
      <c r="H610" s="61"/>
    </row>
    <row r="611" spans="2:8" ht="15.75">
      <c r="B611" s="63"/>
      <c r="C611" s="30"/>
      <c r="D611" s="64"/>
      <c r="E611" s="61"/>
      <c r="F611" s="61"/>
      <c r="G611" s="61"/>
      <c r="H611" s="61"/>
    </row>
    <row r="612" spans="2:8" ht="15.75">
      <c r="B612" s="63"/>
      <c r="C612" s="30"/>
      <c r="D612" s="64"/>
      <c r="E612" s="61"/>
      <c r="F612" s="61"/>
      <c r="G612" s="61"/>
      <c r="H612" s="61"/>
    </row>
    <row r="613" spans="2:8" ht="15.75">
      <c r="B613" s="63"/>
      <c r="C613" s="30"/>
      <c r="D613" s="64"/>
      <c r="E613" s="61"/>
      <c r="F613" s="61"/>
      <c r="G613" s="61"/>
      <c r="H613" s="61"/>
    </row>
    <row r="614" spans="2:8" ht="15.75">
      <c r="B614" s="63"/>
      <c r="C614" s="30"/>
      <c r="D614" s="64"/>
      <c r="E614" s="61"/>
      <c r="F614" s="61"/>
      <c r="G614" s="61"/>
      <c r="H614" s="61"/>
    </row>
    <row r="615" spans="2:8" ht="15.75">
      <c r="B615" s="63"/>
      <c r="C615" s="30"/>
      <c r="D615" s="64"/>
      <c r="E615" s="61"/>
      <c r="F615" s="61"/>
      <c r="G615" s="61"/>
      <c r="H615" s="61"/>
    </row>
    <row r="616" spans="2:8" ht="15.75">
      <c r="B616" s="63"/>
      <c r="C616" s="30"/>
      <c r="D616" s="64"/>
      <c r="E616" s="61"/>
      <c r="F616" s="61"/>
      <c r="G616" s="61"/>
      <c r="H616" s="61"/>
    </row>
    <row r="617" spans="2:8" ht="15.75">
      <c r="B617" s="63"/>
      <c r="C617" s="30"/>
      <c r="D617" s="64"/>
      <c r="E617" s="61"/>
      <c r="F617" s="61"/>
      <c r="G617" s="61"/>
      <c r="H617" s="61"/>
    </row>
    <row r="618" spans="2:8" ht="15.75">
      <c r="B618" s="63"/>
      <c r="C618" s="30"/>
      <c r="D618" s="64"/>
      <c r="E618" s="61"/>
      <c r="F618" s="61"/>
      <c r="G618" s="61"/>
      <c r="H618" s="61"/>
    </row>
    <row r="619" spans="2:8" ht="15.75">
      <c r="B619" s="63"/>
      <c r="C619" s="30"/>
      <c r="D619" s="64"/>
      <c r="E619" s="61"/>
      <c r="F619" s="61"/>
      <c r="G619" s="61"/>
      <c r="H619" s="61"/>
    </row>
    <row r="620" spans="2:8" ht="15.75">
      <c r="B620" s="63"/>
      <c r="C620" s="30"/>
      <c r="D620" s="64"/>
      <c r="E620" s="61"/>
      <c r="F620" s="61"/>
      <c r="G620" s="61"/>
      <c r="H620" s="61"/>
    </row>
    <row r="621" spans="2:8" ht="15.75">
      <c r="B621" s="63"/>
      <c r="C621" s="30"/>
      <c r="D621" s="64"/>
      <c r="E621" s="61"/>
      <c r="F621" s="61"/>
      <c r="G621" s="61"/>
      <c r="H621" s="61"/>
    </row>
    <row r="622" spans="2:8" ht="15.75">
      <c r="B622" s="63"/>
      <c r="C622" s="30"/>
      <c r="D622" s="64"/>
      <c r="E622" s="61"/>
      <c r="F622" s="61"/>
      <c r="G622" s="61"/>
      <c r="H622" s="61"/>
    </row>
    <row r="623" spans="2:8" ht="15.75">
      <c r="B623" s="63"/>
      <c r="C623" s="30"/>
      <c r="D623" s="64"/>
      <c r="E623" s="61"/>
      <c r="F623" s="61"/>
      <c r="G623" s="61"/>
      <c r="H623" s="61"/>
    </row>
    <row r="624" spans="2:8" ht="15.75">
      <c r="B624" s="63"/>
      <c r="C624" s="30"/>
      <c r="D624" s="64"/>
      <c r="E624" s="61"/>
      <c r="F624" s="61"/>
      <c r="G624" s="61"/>
      <c r="H624" s="61"/>
    </row>
    <row r="625" spans="2:8" ht="15.75">
      <c r="B625" s="63"/>
      <c r="C625" s="30"/>
      <c r="D625" s="64"/>
      <c r="E625" s="61"/>
      <c r="F625" s="61"/>
      <c r="G625" s="61"/>
      <c r="H625" s="61"/>
    </row>
    <row r="626" spans="2:8" ht="15.75">
      <c r="B626" s="63"/>
      <c r="C626" s="30"/>
      <c r="D626" s="64"/>
      <c r="E626" s="61"/>
      <c r="F626" s="61"/>
      <c r="G626" s="61"/>
      <c r="H626" s="61"/>
    </row>
    <row r="627" spans="2:8" ht="15.75">
      <c r="B627" s="63"/>
      <c r="C627" s="30"/>
      <c r="D627" s="64"/>
      <c r="E627" s="61"/>
      <c r="F627" s="61"/>
      <c r="G627" s="61"/>
      <c r="H627" s="61"/>
    </row>
    <row r="628" spans="2:8" ht="15.75">
      <c r="B628" s="63"/>
      <c r="C628" s="30"/>
      <c r="D628" s="64"/>
      <c r="E628" s="61"/>
      <c r="F628" s="61"/>
      <c r="G628" s="61"/>
      <c r="H628" s="61"/>
    </row>
    <row r="629" spans="2:8" ht="15.75">
      <c r="B629" s="63"/>
      <c r="C629" s="30"/>
      <c r="D629" s="64"/>
      <c r="E629" s="61"/>
      <c r="F629" s="61"/>
      <c r="G629" s="61"/>
      <c r="H629" s="61"/>
    </row>
    <row r="630" spans="2:8" ht="15.75">
      <c r="B630" s="63"/>
      <c r="C630" s="30"/>
      <c r="D630" s="64"/>
      <c r="E630" s="61"/>
      <c r="F630" s="61"/>
      <c r="G630" s="61"/>
      <c r="H630" s="61"/>
    </row>
    <row r="631" spans="2:8" ht="15.75">
      <c r="B631" s="63"/>
      <c r="C631" s="30"/>
      <c r="D631" s="64"/>
      <c r="E631" s="61"/>
      <c r="F631" s="61"/>
      <c r="G631" s="61"/>
      <c r="H631" s="61"/>
    </row>
    <row r="632" spans="2:8" ht="15.75">
      <c r="B632" s="63"/>
      <c r="C632" s="30"/>
      <c r="D632" s="64"/>
      <c r="E632" s="61"/>
      <c r="F632" s="61"/>
      <c r="G632" s="61"/>
      <c r="H632" s="61"/>
    </row>
    <row r="633" spans="2:8" ht="15.75">
      <c r="B633" s="63"/>
      <c r="C633" s="30"/>
      <c r="D633" s="64"/>
      <c r="E633" s="61"/>
      <c r="F633" s="61"/>
      <c r="G633" s="61"/>
      <c r="H633" s="61"/>
    </row>
    <row r="634" spans="2:8" ht="15.75">
      <c r="B634" s="63"/>
      <c r="C634" s="30"/>
      <c r="D634" s="64"/>
      <c r="E634" s="61"/>
      <c r="F634" s="61"/>
      <c r="G634" s="61"/>
      <c r="H634" s="61"/>
    </row>
    <row r="635" spans="2:8" ht="15.75">
      <c r="B635" s="63"/>
      <c r="C635" s="30"/>
      <c r="D635" s="64"/>
      <c r="E635" s="61"/>
      <c r="F635" s="61"/>
      <c r="G635" s="61"/>
      <c r="H635" s="61"/>
    </row>
    <row r="636" spans="2:8" ht="15.75">
      <c r="B636" s="63"/>
      <c r="C636" s="30"/>
      <c r="D636" s="64"/>
      <c r="E636" s="61"/>
      <c r="F636" s="61"/>
      <c r="G636" s="61"/>
      <c r="H636" s="61"/>
    </row>
    <row r="637" spans="2:8" ht="15.75">
      <c r="B637" s="63"/>
      <c r="C637" s="30"/>
      <c r="D637" s="64"/>
      <c r="E637" s="61"/>
      <c r="F637" s="61"/>
      <c r="G637" s="61"/>
      <c r="H637" s="61"/>
    </row>
    <row r="638" spans="2:8" ht="15.75">
      <c r="B638" s="63"/>
      <c r="C638" s="30"/>
      <c r="D638" s="64"/>
      <c r="E638" s="61"/>
      <c r="F638" s="61"/>
      <c r="G638" s="61"/>
      <c r="H638" s="61"/>
    </row>
    <row r="639" spans="2:8" ht="15.75">
      <c r="B639" s="63"/>
      <c r="C639" s="30"/>
      <c r="D639" s="64"/>
      <c r="E639" s="61"/>
      <c r="F639" s="61"/>
      <c r="G639" s="61"/>
      <c r="H639" s="61"/>
    </row>
    <row r="640" spans="2:8" ht="15.75">
      <c r="B640" s="63"/>
      <c r="C640" s="30"/>
      <c r="D640" s="64"/>
      <c r="E640" s="61"/>
      <c r="F640" s="61"/>
      <c r="G640" s="61"/>
      <c r="H640" s="61"/>
    </row>
    <row r="641" spans="2:8" ht="15.75">
      <c r="B641" s="63"/>
      <c r="C641" s="30"/>
      <c r="D641" s="64"/>
      <c r="E641" s="61"/>
      <c r="F641" s="61"/>
      <c r="G641" s="61"/>
      <c r="H641" s="61"/>
    </row>
    <row r="642" spans="2:8" ht="15.75">
      <c r="B642" s="63"/>
      <c r="C642" s="30"/>
      <c r="D642" s="64"/>
      <c r="E642" s="61"/>
      <c r="F642" s="61"/>
      <c r="G642" s="61"/>
      <c r="H642" s="61"/>
    </row>
    <row r="643" spans="2:8" ht="15.75">
      <c r="B643" s="63"/>
      <c r="C643" s="30"/>
      <c r="D643" s="64"/>
      <c r="E643" s="61"/>
      <c r="F643" s="61"/>
      <c r="G643" s="61"/>
      <c r="H643" s="61"/>
    </row>
    <row r="644" spans="2:8" ht="15.75">
      <c r="B644" s="63"/>
      <c r="C644" s="30"/>
      <c r="D644" s="64"/>
      <c r="E644" s="61"/>
      <c r="F644" s="61"/>
      <c r="G644" s="61"/>
      <c r="H644" s="61"/>
    </row>
    <row r="645" spans="2:8" ht="15.75">
      <c r="B645" s="63"/>
      <c r="C645" s="30"/>
      <c r="D645" s="64"/>
      <c r="E645" s="61"/>
      <c r="F645" s="61"/>
      <c r="G645" s="61"/>
      <c r="H645" s="61"/>
    </row>
    <row r="646" spans="2:8" ht="15.75">
      <c r="B646" s="63"/>
      <c r="C646" s="30"/>
      <c r="D646" s="64"/>
      <c r="E646" s="61"/>
      <c r="F646" s="61"/>
      <c r="G646" s="61"/>
      <c r="H646" s="61"/>
    </row>
    <row r="647" spans="2:8" ht="15.75">
      <c r="B647" s="63"/>
      <c r="C647" s="30"/>
      <c r="D647" s="64"/>
      <c r="E647" s="61"/>
      <c r="F647" s="61"/>
      <c r="G647" s="61"/>
      <c r="H647" s="61"/>
    </row>
    <row r="648" spans="2:8" ht="15.75">
      <c r="B648" s="63"/>
      <c r="C648" s="30"/>
      <c r="D648" s="64"/>
      <c r="E648" s="61"/>
      <c r="F648" s="61"/>
      <c r="G648" s="61"/>
      <c r="H648" s="61"/>
    </row>
    <row r="649" spans="2:8" ht="15.75">
      <c r="B649" s="63"/>
      <c r="C649" s="30"/>
      <c r="D649" s="64"/>
      <c r="E649" s="61"/>
      <c r="F649" s="61"/>
      <c r="G649" s="61"/>
      <c r="H649" s="61"/>
    </row>
    <row r="650" spans="2:8" ht="15.75">
      <c r="B650" s="63"/>
      <c r="C650" s="30"/>
      <c r="D650" s="64"/>
      <c r="E650" s="61"/>
      <c r="F650" s="61"/>
      <c r="G650" s="61"/>
      <c r="H650" s="61"/>
    </row>
    <row r="651" spans="2:8" ht="15.75">
      <c r="B651" s="63"/>
      <c r="C651" s="30"/>
      <c r="D651" s="64"/>
      <c r="E651" s="61"/>
      <c r="F651" s="61"/>
      <c r="G651" s="61"/>
      <c r="H651" s="61"/>
    </row>
    <row r="652" spans="2:8" ht="15.75">
      <c r="B652" s="63"/>
      <c r="C652" s="30"/>
      <c r="D652" s="64"/>
      <c r="E652" s="61"/>
      <c r="F652" s="61"/>
      <c r="G652" s="61"/>
      <c r="H652" s="61"/>
    </row>
    <row r="653" spans="2:8" ht="15.75">
      <c r="B653" s="63"/>
      <c r="C653" s="30"/>
      <c r="D653" s="64"/>
      <c r="E653" s="61"/>
      <c r="F653" s="61"/>
      <c r="G653" s="61"/>
      <c r="H653" s="61"/>
    </row>
    <row r="654" spans="2:8" ht="15.75">
      <c r="B654" s="63"/>
      <c r="C654" s="30"/>
      <c r="D654" s="64"/>
      <c r="E654" s="61"/>
      <c r="F654" s="61"/>
      <c r="G654" s="61"/>
      <c r="H654" s="61"/>
    </row>
    <row r="655" spans="2:8" ht="15.75">
      <c r="B655" s="63"/>
      <c r="C655" s="30"/>
      <c r="D655" s="64"/>
      <c r="E655" s="61"/>
      <c r="F655" s="61"/>
      <c r="G655" s="61"/>
      <c r="H655" s="61"/>
    </row>
    <row r="656" spans="2:8" ht="15.75">
      <c r="B656" s="63"/>
      <c r="C656" s="30"/>
      <c r="D656" s="64"/>
      <c r="E656" s="61"/>
      <c r="F656" s="61"/>
      <c r="G656" s="61"/>
      <c r="H656" s="61"/>
    </row>
    <row r="657" spans="2:8" ht="15.75">
      <c r="B657" s="63"/>
      <c r="C657" s="30"/>
      <c r="D657" s="64"/>
      <c r="E657" s="61"/>
      <c r="F657" s="61"/>
      <c r="G657" s="61"/>
      <c r="H657" s="61"/>
    </row>
    <row r="658" spans="2:8" ht="15.75">
      <c r="B658" s="63"/>
      <c r="C658" s="30"/>
      <c r="D658" s="64"/>
      <c r="E658" s="61"/>
      <c r="F658" s="61"/>
      <c r="G658" s="61"/>
      <c r="H658" s="61"/>
    </row>
    <row r="659" spans="2:8" ht="15.75">
      <c r="B659" s="63"/>
      <c r="C659" s="30"/>
      <c r="D659" s="64"/>
      <c r="E659" s="61"/>
      <c r="F659" s="61"/>
      <c r="G659" s="61"/>
      <c r="H659" s="61"/>
    </row>
    <row r="660" spans="2:8" ht="15.75">
      <c r="B660" s="63"/>
      <c r="C660" s="30"/>
      <c r="D660" s="64"/>
      <c r="E660" s="61"/>
      <c r="F660" s="61"/>
      <c r="G660" s="61"/>
      <c r="H660" s="61"/>
    </row>
    <row r="661" spans="2:8" ht="15.75">
      <c r="B661" s="63"/>
      <c r="C661" s="30"/>
      <c r="D661" s="64"/>
      <c r="E661" s="61"/>
      <c r="F661" s="61"/>
      <c r="G661" s="61"/>
      <c r="H661" s="61"/>
    </row>
    <row r="662" spans="2:8" ht="15.75">
      <c r="B662" s="63"/>
      <c r="C662" s="30"/>
      <c r="D662" s="64"/>
      <c r="E662" s="61"/>
      <c r="F662" s="61"/>
      <c r="G662" s="61"/>
      <c r="H662" s="61"/>
    </row>
    <row r="663" spans="2:8" ht="15.75">
      <c r="B663" s="63"/>
      <c r="C663" s="30"/>
      <c r="D663" s="64"/>
      <c r="E663" s="61"/>
      <c r="F663" s="61"/>
      <c r="G663" s="61"/>
      <c r="H663" s="61"/>
    </row>
    <row r="664" spans="2:8" ht="15.75">
      <c r="B664" s="63"/>
      <c r="C664" s="30"/>
      <c r="D664" s="64"/>
      <c r="E664" s="61"/>
      <c r="F664" s="61"/>
      <c r="G664" s="61"/>
      <c r="H664" s="61"/>
    </row>
    <row r="665" spans="2:8" ht="15.75">
      <c r="B665" s="63"/>
      <c r="C665" s="30"/>
      <c r="D665" s="64"/>
      <c r="E665" s="61"/>
      <c r="F665" s="61"/>
      <c r="G665" s="61"/>
      <c r="H665" s="61"/>
    </row>
    <row r="666" spans="2:8" ht="15.75">
      <c r="B666" s="63"/>
      <c r="C666" s="30"/>
      <c r="D666" s="64"/>
      <c r="E666" s="61"/>
      <c r="F666" s="61"/>
      <c r="G666" s="61"/>
      <c r="H666" s="61"/>
    </row>
    <row r="667" spans="2:8" ht="15.75">
      <c r="B667" s="63"/>
      <c r="C667" s="30"/>
      <c r="D667" s="64"/>
      <c r="E667" s="61"/>
      <c r="F667" s="61"/>
      <c r="G667" s="61"/>
      <c r="H667" s="61"/>
    </row>
    <row r="668" spans="2:8" ht="15.75">
      <c r="B668" s="63"/>
      <c r="C668" s="30"/>
      <c r="D668" s="64"/>
      <c r="E668" s="61"/>
      <c r="F668" s="61"/>
      <c r="G668" s="61"/>
      <c r="H668" s="61"/>
    </row>
    <row r="669" spans="2:8" ht="15.75">
      <c r="B669" s="63"/>
      <c r="C669" s="30"/>
      <c r="D669" s="64"/>
      <c r="E669" s="61"/>
      <c r="F669" s="61"/>
      <c r="G669" s="61"/>
      <c r="H669" s="61"/>
    </row>
    <row r="670" spans="2:8" ht="15.75">
      <c r="B670" s="63"/>
      <c r="C670" s="30"/>
      <c r="D670" s="64"/>
      <c r="E670" s="61"/>
      <c r="F670" s="61"/>
      <c r="G670" s="61"/>
      <c r="H670" s="61"/>
    </row>
    <row r="671" spans="2:8" ht="15.75">
      <c r="B671" s="63"/>
      <c r="C671" s="30"/>
      <c r="D671" s="64"/>
      <c r="E671" s="61"/>
      <c r="F671" s="61"/>
      <c r="G671" s="61"/>
      <c r="H671" s="61"/>
    </row>
    <row r="672" spans="2:8" ht="15.75">
      <c r="B672" s="63"/>
      <c r="C672" s="30"/>
      <c r="D672" s="64"/>
      <c r="E672" s="61"/>
      <c r="F672" s="61"/>
      <c r="G672" s="61"/>
      <c r="H672" s="61"/>
    </row>
    <row r="673" spans="2:8" ht="15.75">
      <c r="B673" s="63"/>
      <c r="C673" s="30"/>
      <c r="D673" s="64"/>
      <c r="E673" s="61"/>
      <c r="F673" s="61"/>
      <c r="G673" s="61"/>
      <c r="H673" s="61"/>
    </row>
    <row r="674" spans="2:8" ht="15.75">
      <c r="B674" s="63"/>
      <c r="C674" s="30"/>
      <c r="D674" s="64"/>
      <c r="E674" s="61"/>
      <c r="F674" s="61"/>
      <c r="G674" s="61"/>
      <c r="H674" s="61"/>
    </row>
    <row r="675" spans="2:8" ht="15.75">
      <c r="B675" s="63"/>
      <c r="C675" s="30"/>
      <c r="D675" s="64"/>
      <c r="E675" s="61"/>
      <c r="F675" s="61"/>
      <c r="G675" s="61"/>
      <c r="H675" s="61"/>
    </row>
    <row r="676" spans="2:8" ht="15.75">
      <c r="B676" s="63"/>
      <c r="C676" s="30"/>
      <c r="D676" s="64"/>
      <c r="E676" s="61"/>
      <c r="F676" s="61"/>
      <c r="G676" s="61"/>
      <c r="H676" s="61"/>
    </row>
    <row r="677" spans="2:8" ht="15.75">
      <c r="B677" s="63"/>
      <c r="C677" s="30"/>
      <c r="D677" s="64"/>
      <c r="E677" s="61"/>
      <c r="F677" s="61"/>
      <c r="G677" s="61"/>
      <c r="H677" s="61"/>
    </row>
    <row r="678" spans="2:8" ht="15.75">
      <c r="B678" s="63"/>
      <c r="C678" s="30"/>
      <c r="D678" s="64"/>
      <c r="E678" s="61"/>
      <c r="F678" s="61"/>
      <c r="G678" s="61"/>
      <c r="H678" s="61"/>
    </row>
    <row r="679" spans="2:8" ht="15.75">
      <c r="B679" s="63"/>
      <c r="C679" s="30"/>
      <c r="D679" s="64"/>
      <c r="E679" s="61"/>
      <c r="F679" s="61"/>
      <c r="G679" s="61"/>
      <c r="H679" s="61"/>
    </row>
    <row r="680" spans="2:8" ht="15.75">
      <c r="B680" s="63"/>
      <c r="C680" s="30"/>
      <c r="D680" s="64"/>
      <c r="E680" s="61"/>
      <c r="F680" s="61"/>
      <c r="G680" s="61"/>
      <c r="H680" s="61"/>
    </row>
    <row r="681" spans="2:8" ht="15.75">
      <c r="B681" s="63"/>
      <c r="C681" s="30"/>
      <c r="D681" s="64"/>
      <c r="E681" s="61"/>
      <c r="F681" s="61"/>
      <c r="G681" s="61"/>
      <c r="H681" s="61"/>
    </row>
    <row r="682" spans="2:8" ht="15.75">
      <c r="B682" s="63"/>
      <c r="C682" s="30"/>
      <c r="D682" s="64"/>
      <c r="E682" s="61"/>
      <c r="F682" s="61"/>
      <c r="G682" s="61"/>
      <c r="H682" s="61"/>
    </row>
    <row r="683" spans="2:8" ht="15.75">
      <c r="B683" s="63"/>
      <c r="C683" s="30"/>
      <c r="D683" s="64"/>
      <c r="E683" s="61"/>
      <c r="F683" s="61"/>
      <c r="G683" s="61"/>
      <c r="H683" s="61"/>
    </row>
    <row r="684" spans="2:8" ht="15.75">
      <c r="B684" s="63"/>
      <c r="C684" s="30"/>
      <c r="D684" s="64"/>
      <c r="E684" s="61"/>
      <c r="F684" s="61"/>
      <c r="G684" s="61"/>
      <c r="H684" s="61"/>
    </row>
    <row r="685" spans="2:8" ht="15.75">
      <c r="B685" s="63"/>
      <c r="C685" s="30"/>
      <c r="D685" s="64"/>
      <c r="E685" s="61"/>
      <c r="F685" s="61"/>
      <c r="G685" s="61"/>
      <c r="H685" s="61"/>
    </row>
    <row r="686" spans="2:8" ht="15.75">
      <c r="B686" s="63"/>
      <c r="C686" s="30"/>
      <c r="D686" s="64"/>
      <c r="E686" s="61"/>
      <c r="F686" s="61"/>
      <c r="G686" s="61"/>
      <c r="H686" s="61"/>
    </row>
    <row r="687" spans="2:8" ht="15.75">
      <c r="B687" s="63"/>
      <c r="C687" s="30"/>
      <c r="D687" s="64"/>
      <c r="E687" s="61"/>
      <c r="F687" s="61"/>
      <c r="G687" s="61"/>
      <c r="H687" s="61"/>
    </row>
    <row r="688" spans="2:8" ht="15.75">
      <c r="B688" s="63"/>
      <c r="C688" s="30"/>
      <c r="D688" s="64"/>
      <c r="E688" s="61"/>
      <c r="F688" s="61"/>
      <c r="G688" s="61"/>
      <c r="H688" s="61"/>
    </row>
    <row r="689" spans="2:8" ht="15.75">
      <c r="B689" s="63"/>
      <c r="C689" s="30"/>
      <c r="D689" s="64"/>
      <c r="E689" s="61"/>
      <c r="F689" s="61"/>
      <c r="G689" s="61"/>
      <c r="H689" s="61"/>
    </row>
    <row r="690" spans="2:8" ht="15.75">
      <c r="B690" s="63"/>
      <c r="C690" s="30"/>
      <c r="D690" s="64"/>
      <c r="E690" s="61"/>
      <c r="F690" s="61"/>
      <c r="G690" s="61"/>
      <c r="H690" s="61"/>
    </row>
    <row r="691" spans="2:8" ht="15.75">
      <c r="B691" s="63"/>
      <c r="C691" s="30"/>
      <c r="D691" s="64"/>
      <c r="E691" s="61"/>
      <c r="F691" s="61"/>
      <c r="G691" s="61"/>
      <c r="H691" s="61"/>
    </row>
    <row r="692" spans="2:8" ht="15.75">
      <c r="B692" s="63"/>
      <c r="C692" s="30"/>
      <c r="D692" s="64"/>
      <c r="E692" s="61"/>
      <c r="F692" s="61"/>
      <c r="G692" s="61"/>
      <c r="H692" s="61"/>
    </row>
    <row r="693" spans="2:8" ht="15.75">
      <c r="B693" s="63"/>
      <c r="C693" s="30"/>
      <c r="D693" s="64"/>
      <c r="E693" s="61"/>
      <c r="F693" s="61"/>
      <c r="G693" s="61"/>
      <c r="H693" s="61"/>
    </row>
    <row r="694" spans="2:8" ht="15.75">
      <c r="B694" s="63"/>
      <c r="C694" s="30"/>
      <c r="D694" s="64"/>
      <c r="E694" s="61"/>
      <c r="F694" s="61"/>
      <c r="G694" s="61"/>
      <c r="H694" s="61"/>
    </row>
    <row r="695" spans="2:8" ht="15.75">
      <c r="B695" s="63"/>
      <c r="C695" s="30"/>
      <c r="D695" s="64"/>
      <c r="E695" s="61"/>
      <c r="F695" s="61"/>
      <c r="G695" s="61"/>
      <c r="H695" s="61"/>
    </row>
    <row r="696" spans="2:8" ht="15.75">
      <c r="B696" s="63"/>
      <c r="C696" s="30"/>
      <c r="D696" s="64"/>
      <c r="E696" s="61"/>
      <c r="F696" s="61"/>
      <c r="G696" s="61"/>
      <c r="H696" s="61"/>
    </row>
    <row r="697" spans="2:8" ht="15.75">
      <c r="B697" s="63"/>
      <c r="C697" s="30"/>
      <c r="D697" s="64"/>
      <c r="E697" s="61"/>
      <c r="F697" s="61"/>
      <c r="G697" s="61"/>
      <c r="H697" s="61"/>
    </row>
    <row r="698" spans="2:8" ht="15.75">
      <c r="B698" s="63"/>
      <c r="C698" s="30"/>
      <c r="D698" s="64"/>
      <c r="E698" s="61"/>
      <c r="F698" s="61"/>
      <c r="G698" s="61"/>
      <c r="H698" s="61"/>
    </row>
    <row r="699" spans="2:8" ht="15.75">
      <c r="B699" s="63"/>
      <c r="C699" s="30"/>
      <c r="D699" s="64"/>
      <c r="E699" s="61"/>
      <c r="F699" s="61"/>
      <c r="G699" s="61"/>
      <c r="H699" s="61"/>
    </row>
    <row r="700" spans="2:8" ht="15.75">
      <c r="B700" s="63"/>
      <c r="C700" s="30"/>
      <c r="D700" s="64"/>
      <c r="E700" s="61"/>
      <c r="F700" s="61"/>
      <c r="G700" s="61"/>
      <c r="H700" s="61"/>
    </row>
    <row r="701" spans="2:8" ht="15.75">
      <c r="B701" s="63"/>
      <c r="C701" s="30"/>
      <c r="D701" s="64"/>
      <c r="E701" s="61"/>
      <c r="F701" s="61"/>
      <c r="G701" s="61"/>
      <c r="H701" s="61"/>
    </row>
    <row r="702" spans="2:8" ht="15.75">
      <c r="B702" s="63"/>
      <c r="C702" s="30"/>
      <c r="D702" s="64"/>
      <c r="E702" s="61"/>
      <c r="F702" s="61"/>
      <c r="G702" s="61"/>
      <c r="H702" s="61"/>
    </row>
    <row r="703" spans="2:8" ht="15.75">
      <c r="B703" s="63"/>
      <c r="C703" s="30"/>
      <c r="D703" s="64"/>
      <c r="E703" s="61"/>
      <c r="F703" s="61"/>
      <c r="G703" s="61"/>
      <c r="H703" s="61"/>
    </row>
    <row r="704" spans="2:8" ht="15.75">
      <c r="B704" s="63"/>
      <c r="C704" s="30"/>
      <c r="D704" s="64"/>
      <c r="E704" s="61"/>
      <c r="F704" s="61"/>
      <c r="G704" s="61"/>
      <c r="H704" s="61"/>
    </row>
    <row r="705" spans="2:8" ht="15.75">
      <c r="B705" s="63"/>
      <c r="C705" s="30"/>
      <c r="D705" s="64"/>
      <c r="E705" s="61"/>
      <c r="F705" s="61"/>
      <c r="G705" s="61"/>
      <c r="H705" s="61"/>
    </row>
    <row r="706" spans="2:8" ht="15.75">
      <c r="B706" s="63"/>
      <c r="C706" s="30"/>
      <c r="D706" s="64"/>
      <c r="E706" s="61"/>
      <c r="F706" s="61"/>
      <c r="G706" s="61"/>
      <c r="H706" s="61"/>
    </row>
    <row r="707" spans="2:8" ht="15.75">
      <c r="B707" s="63"/>
      <c r="C707" s="30"/>
      <c r="D707" s="64"/>
      <c r="E707" s="61"/>
      <c r="F707" s="61"/>
      <c r="G707" s="61"/>
      <c r="H707" s="61"/>
    </row>
    <row r="708" spans="2:8" ht="15.75">
      <c r="B708" s="63"/>
      <c r="C708" s="30"/>
      <c r="D708" s="64"/>
      <c r="E708" s="61"/>
      <c r="F708" s="61"/>
      <c r="G708" s="61"/>
      <c r="H708" s="61"/>
    </row>
    <row r="709" spans="2:8" ht="15.75">
      <c r="B709" s="63"/>
      <c r="C709" s="30"/>
      <c r="D709" s="64"/>
      <c r="E709" s="61"/>
      <c r="F709" s="61"/>
      <c r="G709" s="61"/>
      <c r="H709" s="61"/>
    </row>
    <row r="710" spans="2:8" ht="15.75">
      <c r="B710" s="63"/>
      <c r="C710" s="30"/>
      <c r="D710" s="64"/>
      <c r="E710" s="61"/>
      <c r="F710" s="61"/>
      <c r="G710" s="61"/>
      <c r="H710" s="61"/>
    </row>
    <row r="711" spans="2:8" ht="15.75">
      <c r="B711" s="63"/>
      <c r="C711" s="30"/>
      <c r="D711" s="64"/>
      <c r="E711" s="61"/>
      <c r="F711" s="61"/>
      <c r="G711" s="61"/>
      <c r="H711" s="61"/>
    </row>
    <row r="712" spans="2:8" ht="15.75">
      <c r="B712" s="63"/>
      <c r="C712" s="30"/>
      <c r="D712" s="64"/>
      <c r="E712" s="61"/>
      <c r="F712" s="61"/>
      <c r="G712" s="61"/>
      <c r="H712" s="61"/>
    </row>
    <row r="713" spans="2:8" ht="15.75">
      <c r="B713" s="63"/>
      <c r="C713" s="30"/>
      <c r="D713" s="64"/>
      <c r="E713" s="61"/>
      <c r="F713" s="61"/>
      <c r="G713" s="61"/>
      <c r="H713" s="61"/>
    </row>
    <row r="714" spans="2:8" ht="15.75">
      <c r="B714" s="63"/>
      <c r="C714" s="30"/>
      <c r="D714" s="64"/>
      <c r="E714" s="61"/>
      <c r="F714" s="61"/>
      <c r="G714" s="61"/>
      <c r="H714" s="61"/>
    </row>
    <row r="715" spans="2:8" ht="15.75">
      <c r="B715" s="63"/>
      <c r="C715" s="30"/>
      <c r="D715" s="64"/>
      <c r="E715" s="61"/>
      <c r="F715" s="61"/>
      <c r="G715" s="61"/>
      <c r="H715" s="61"/>
    </row>
    <row r="716" spans="2:8" ht="15.75">
      <c r="B716" s="63"/>
      <c r="C716" s="30"/>
      <c r="D716" s="64"/>
      <c r="E716" s="61"/>
      <c r="F716" s="61"/>
      <c r="G716" s="61"/>
      <c r="H716" s="61"/>
    </row>
    <row r="717" spans="2:8" ht="15.75">
      <c r="B717" s="63"/>
      <c r="C717" s="30"/>
      <c r="D717" s="64"/>
      <c r="E717" s="61"/>
      <c r="F717" s="61"/>
      <c r="G717" s="61"/>
      <c r="H717" s="61"/>
    </row>
    <row r="718" spans="2:8" ht="15.75">
      <c r="B718" s="63"/>
      <c r="C718" s="30"/>
      <c r="D718" s="64"/>
      <c r="E718" s="61"/>
      <c r="F718" s="61"/>
      <c r="G718" s="61"/>
      <c r="H718" s="61"/>
    </row>
    <row r="719" spans="2:8" ht="15.75">
      <c r="B719" s="63"/>
      <c r="C719" s="30"/>
      <c r="D719" s="64"/>
      <c r="E719" s="61"/>
      <c r="F719" s="61"/>
      <c r="G719" s="61"/>
      <c r="H719" s="61"/>
    </row>
    <row r="720" spans="2:8" ht="15.75">
      <c r="B720" s="63"/>
      <c r="C720" s="30"/>
      <c r="D720" s="64"/>
      <c r="E720" s="61"/>
      <c r="F720" s="61"/>
      <c r="G720" s="61"/>
      <c r="H720" s="61"/>
    </row>
    <row r="721" spans="2:8" ht="15.75">
      <c r="B721" s="63"/>
      <c r="C721" s="30"/>
      <c r="D721" s="64"/>
      <c r="E721" s="61"/>
      <c r="F721" s="61"/>
      <c r="G721" s="61"/>
      <c r="H721" s="61"/>
    </row>
    <row r="722" spans="2:8" ht="15.75">
      <c r="B722" s="63"/>
      <c r="C722" s="30"/>
      <c r="D722" s="64"/>
      <c r="E722" s="61"/>
      <c r="F722" s="61"/>
      <c r="G722" s="61"/>
      <c r="H722" s="61"/>
    </row>
    <row r="723" spans="2:8" ht="15.75">
      <c r="B723" s="63"/>
      <c r="C723" s="30"/>
      <c r="D723" s="64"/>
      <c r="E723" s="61"/>
      <c r="F723" s="61"/>
      <c r="G723" s="61"/>
      <c r="H723" s="61"/>
    </row>
  </sheetData>
  <sheetProtection password="CE28" sheet="1" objects="1" scenarios="1"/>
  <mergeCells count="107">
    <mergeCell ref="I444:I445"/>
    <mergeCell ref="J444:J445"/>
    <mergeCell ref="K444:K445"/>
    <mergeCell ref="L444:L445"/>
    <mergeCell ref="M444:M445"/>
    <mergeCell ref="A446:A508"/>
    <mergeCell ref="B446:B508"/>
    <mergeCell ref="K440:K441"/>
    <mergeCell ref="A442:K442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E440:E441"/>
    <mergeCell ref="F440:F441"/>
    <mergeCell ref="G440:G441"/>
    <mergeCell ref="H440:H441"/>
    <mergeCell ref="I440:I441"/>
    <mergeCell ref="J440:J441"/>
    <mergeCell ref="A421:A429"/>
    <mergeCell ref="B421:B429"/>
    <mergeCell ref="A430:A435"/>
    <mergeCell ref="B430:B435"/>
    <mergeCell ref="C430:C435"/>
    <mergeCell ref="A437:A438"/>
    <mergeCell ref="B437:B438"/>
    <mergeCell ref="A388:A391"/>
    <mergeCell ref="B388:B391"/>
    <mergeCell ref="A392:A404"/>
    <mergeCell ref="B392:B404"/>
    <mergeCell ref="A405:A420"/>
    <mergeCell ref="B405:B420"/>
    <mergeCell ref="A355:A364"/>
    <mergeCell ref="B355:B364"/>
    <mergeCell ref="A365:A377"/>
    <mergeCell ref="B365:B377"/>
    <mergeCell ref="A378:A387"/>
    <mergeCell ref="B378:B387"/>
    <mergeCell ref="A309:A316"/>
    <mergeCell ref="B309:B316"/>
    <mergeCell ref="A317:A336"/>
    <mergeCell ref="B317:B336"/>
    <mergeCell ref="A337:A354"/>
    <mergeCell ref="B337:B354"/>
    <mergeCell ref="A269:A279"/>
    <mergeCell ref="B269:B279"/>
    <mergeCell ref="A280:A294"/>
    <mergeCell ref="B280:B294"/>
    <mergeCell ref="A295:A308"/>
    <mergeCell ref="B295:B308"/>
    <mergeCell ref="A227:A238"/>
    <mergeCell ref="B227:B238"/>
    <mergeCell ref="A239:A255"/>
    <mergeCell ref="B239:B255"/>
    <mergeCell ref="A256:A268"/>
    <mergeCell ref="B256:B268"/>
    <mergeCell ref="A191:A202"/>
    <mergeCell ref="B191:B202"/>
    <mergeCell ref="A214:A226"/>
    <mergeCell ref="B214:B226"/>
    <mergeCell ref="A203:A213"/>
    <mergeCell ref="B203:B213"/>
    <mergeCell ref="A153:A165"/>
    <mergeCell ref="B153:B165"/>
    <mergeCell ref="A166:A177"/>
    <mergeCell ref="B166:B177"/>
    <mergeCell ref="A178:A190"/>
    <mergeCell ref="B178:B190"/>
    <mergeCell ref="A123:A127"/>
    <mergeCell ref="B123:B127"/>
    <mergeCell ref="A128:A140"/>
    <mergeCell ref="B128:B140"/>
    <mergeCell ref="A141:A152"/>
    <mergeCell ref="B141:B152"/>
    <mergeCell ref="A71:A87"/>
    <mergeCell ref="B71:B87"/>
    <mergeCell ref="A88:A104"/>
    <mergeCell ref="B88:B104"/>
    <mergeCell ref="A105:A122"/>
    <mergeCell ref="B105:B122"/>
    <mergeCell ref="A28:A50"/>
    <mergeCell ref="B28:B50"/>
    <mergeCell ref="A51:A63"/>
    <mergeCell ref="B51:B63"/>
    <mergeCell ref="A66:A70"/>
    <mergeCell ref="B66:B70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8" right="0.15" top="0.21" bottom="0.28" header="0.31496062992125984" footer="0.15748031496062992"/>
  <pageSetup fitToHeight="6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3"/>
  <sheetViews>
    <sheetView view="pageBreakPreview" zoomScale="71" zoomScaleNormal="68" zoomScaleSheetLayoutView="71" zoomScalePageLayoutView="0" workbookViewId="0" topLeftCell="D440">
      <pane xSplit="1" ySplit="6" topLeftCell="E469" activePane="bottomRight" state="frozen"/>
      <selection pane="topLeft" activeCell="D440" sqref="D440"/>
      <selection pane="topRight" activeCell="E440" sqref="E440"/>
      <selection pane="bottomLeft" activeCell="D446" sqref="D446"/>
      <selection pane="bottomRight" activeCell="I453" sqref="I453"/>
    </sheetView>
  </sheetViews>
  <sheetFormatPr defaultColWidth="9.00390625" defaultRowHeight="15.75"/>
  <cols>
    <col min="1" max="1" width="6.125" style="37" hidden="1" customWidth="1"/>
    <col min="2" max="2" width="17.00390625" style="38" hidden="1" customWidth="1"/>
    <col min="3" max="3" width="0.12890625" style="20" customWidth="1"/>
    <col min="4" max="4" width="55.25390625" style="65" customWidth="1"/>
    <col min="5" max="5" width="13.375" style="39" customWidth="1"/>
    <col min="6" max="6" width="14.625" style="39" customWidth="1"/>
    <col min="7" max="7" width="14.25390625" style="39" customWidth="1"/>
    <col min="8" max="8" width="13.50390625" style="39" customWidth="1"/>
    <col min="9" max="9" width="12.875" style="35" customWidth="1"/>
    <col min="10" max="10" width="11.25390625" style="35" customWidth="1"/>
    <col min="11" max="11" width="10.375" style="35" customWidth="1"/>
    <col min="12" max="12" width="13.00390625" style="35" customWidth="1"/>
    <col min="13" max="13" width="11.25390625" style="35" customWidth="1"/>
    <col min="14" max="14" width="9.00390625" style="35" customWidth="1"/>
  </cols>
  <sheetData>
    <row r="1" spans="1:13" ht="18.75" hidden="1">
      <c r="A1" s="87" t="s">
        <v>205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.75" hidden="1">
      <c r="A2" s="88" t="s">
        <v>221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</row>
    <row r="3" spans="4:13" ht="15.75" hidden="1">
      <c r="D3" s="2"/>
      <c r="H3" s="40"/>
      <c r="K3" s="41"/>
      <c r="M3" s="41" t="s">
        <v>204</v>
      </c>
    </row>
    <row r="4" spans="1:13" ht="15.75" hidden="1">
      <c r="A4" s="90" t="s">
        <v>1</v>
      </c>
      <c r="B4" s="91" t="s">
        <v>2</v>
      </c>
      <c r="C4" s="90" t="s">
        <v>3</v>
      </c>
      <c r="D4" s="91" t="s">
        <v>4</v>
      </c>
      <c r="E4" s="92" t="s">
        <v>215</v>
      </c>
      <c r="F4" s="94" t="s">
        <v>208</v>
      </c>
      <c r="G4" s="94" t="s">
        <v>216</v>
      </c>
      <c r="H4" s="94" t="s">
        <v>217</v>
      </c>
      <c r="I4" s="96" t="s">
        <v>220</v>
      </c>
      <c r="J4" s="91" t="s">
        <v>219</v>
      </c>
      <c r="K4" s="98" t="s">
        <v>5</v>
      </c>
      <c r="L4" s="96" t="s">
        <v>6</v>
      </c>
      <c r="M4" s="91" t="s">
        <v>7</v>
      </c>
    </row>
    <row r="5" spans="1:13" ht="15.75" hidden="1">
      <c r="A5" s="90"/>
      <c r="B5" s="91"/>
      <c r="C5" s="90"/>
      <c r="D5" s="91"/>
      <c r="E5" s="93"/>
      <c r="F5" s="95"/>
      <c r="G5" s="95"/>
      <c r="H5" s="95"/>
      <c r="I5" s="97"/>
      <c r="J5" s="97"/>
      <c r="K5" s="99"/>
      <c r="L5" s="97"/>
      <c r="M5" s="97"/>
    </row>
    <row r="6" spans="1:13" ht="267.75" hidden="1">
      <c r="A6" s="100" t="s">
        <v>8</v>
      </c>
      <c r="B6" s="103" t="s">
        <v>9</v>
      </c>
      <c r="C6" s="21" t="s">
        <v>10</v>
      </c>
      <c r="D6" s="42" t="s">
        <v>11</v>
      </c>
      <c r="E6" s="33">
        <v>576.7</v>
      </c>
      <c r="F6" s="43">
        <v>433.9</v>
      </c>
      <c r="G6" s="44">
        <v>433.9</v>
      </c>
      <c r="H6" s="33">
        <v>842.7</v>
      </c>
      <c r="I6" s="33">
        <f>H6-G6</f>
        <v>408.80000000000007</v>
      </c>
      <c r="J6" s="33">
        <f>H6/G6*100</f>
        <v>194.21525697165248</v>
      </c>
      <c r="K6" s="33">
        <f>H6/F6*100</f>
        <v>194.21525697165248</v>
      </c>
      <c r="L6" s="33">
        <f>H6-E6</f>
        <v>266</v>
      </c>
      <c r="M6" s="33">
        <f>H6/E6*100</f>
        <v>146.12450147390322</v>
      </c>
    </row>
    <row r="7" spans="1:13" ht="63" hidden="1">
      <c r="A7" s="101"/>
      <c r="B7" s="101"/>
      <c r="C7" s="22" t="s">
        <v>12</v>
      </c>
      <c r="D7" s="45" t="s">
        <v>13</v>
      </c>
      <c r="E7" s="33">
        <v>3927</v>
      </c>
      <c r="F7" s="43"/>
      <c r="G7" s="44"/>
      <c r="H7" s="33">
        <v>33791</v>
      </c>
      <c r="I7" s="33">
        <f>H7-G7</f>
        <v>33791</v>
      </c>
      <c r="J7" s="33"/>
      <c r="K7" s="33"/>
      <c r="L7" s="33">
        <f>H7-E7</f>
        <v>29864</v>
      </c>
      <c r="M7" s="33">
        <f>H7/E7*100</f>
        <v>860.4787369493251</v>
      </c>
    </row>
    <row r="8" spans="1:13" ht="267.75" hidden="1">
      <c r="A8" s="101"/>
      <c r="B8" s="101"/>
      <c r="C8" s="23" t="s">
        <v>14</v>
      </c>
      <c r="D8" s="46" t="s">
        <v>15</v>
      </c>
      <c r="E8" s="33">
        <v>227096.8</v>
      </c>
      <c r="F8" s="33">
        <v>420216.8</v>
      </c>
      <c r="G8" s="33">
        <v>230108.8</v>
      </c>
      <c r="H8" s="33">
        <v>173038</v>
      </c>
      <c r="I8" s="33">
        <f>H8-G8</f>
        <v>-57070.79999999999</v>
      </c>
      <c r="J8" s="33">
        <f>H8/G8*100</f>
        <v>75.19834095871171</v>
      </c>
      <c r="K8" s="33">
        <f>H8/F8*100</f>
        <v>41.17826797976664</v>
      </c>
      <c r="L8" s="33">
        <f>H8-E8</f>
        <v>-54058.79999999999</v>
      </c>
      <c r="M8" s="33">
        <f>H8/E8*100</f>
        <v>76.19570156867029</v>
      </c>
    </row>
    <row r="9" spans="1:13" ht="267.75" hidden="1">
      <c r="A9" s="101"/>
      <c r="B9" s="101"/>
      <c r="C9" s="23" t="s">
        <v>16</v>
      </c>
      <c r="D9" s="34" t="s">
        <v>17</v>
      </c>
      <c r="E9" s="33">
        <v>3453.5</v>
      </c>
      <c r="F9" s="33">
        <v>3687</v>
      </c>
      <c r="G9" s="33">
        <v>3687</v>
      </c>
      <c r="H9" s="33">
        <v>3362.2</v>
      </c>
      <c r="I9" s="33">
        <f aca="true" t="shared" si="0" ref="I9:I72">H9-G9</f>
        <v>-324.8000000000002</v>
      </c>
      <c r="J9" s="33">
        <f aca="true" t="shared" si="1" ref="J9:J65">H9/G9*100</f>
        <v>91.19066992134526</v>
      </c>
      <c r="K9" s="33">
        <f aca="true" t="shared" si="2" ref="K9:K65">H9/F9*100</f>
        <v>91.19066992134526</v>
      </c>
      <c r="L9" s="33">
        <f aca="true" t="shared" si="3" ref="L9:L72">H9-E9</f>
        <v>-91.30000000000018</v>
      </c>
      <c r="M9" s="33">
        <f aca="true" t="shared" si="4" ref="M9:M72">H9/E9*100</f>
        <v>97.35630519762559</v>
      </c>
    </row>
    <row r="10" spans="1:13" ht="267.75" hidden="1">
      <c r="A10" s="101"/>
      <c r="B10" s="101"/>
      <c r="C10" s="23" t="s">
        <v>18</v>
      </c>
      <c r="D10" s="36" t="s">
        <v>19</v>
      </c>
      <c r="E10" s="33">
        <v>875.9</v>
      </c>
      <c r="F10" s="33"/>
      <c r="G10" s="33"/>
      <c r="H10" s="33">
        <v>1586.7</v>
      </c>
      <c r="I10" s="33">
        <f t="shared" si="0"/>
        <v>1586.7</v>
      </c>
      <c r="J10" s="33"/>
      <c r="K10" s="33"/>
      <c r="L10" s="33">
        <f t="shared" si="3"/>
        <v>710.8000000000001</v>
      </c>
      <c r="M10" s="33">
        <f t="shared" si="4"/>
        <v>181.15081630323098</v>
      </c>
    </row>
    <row r="11" spans="1:13" ht="267.75" hidden="1">
      <c r="A11" s="101"/>
      <c r="B11" s="101"/>
      <c r="C11" s="23" t="s">
        <v>20</v>
      </c>
      <c r="D11" s="47" t="s">
        <v>21</v>
      </c>
      <c r="E11" s="33">
        <v>61.2</v>
      </c>
      <c r="F11" s="33"/>
      <c r="G11" s="33"/>
      <c r="H11" s="33">
        <v>37.3</v>
      </c>
      <c r="I11" s="33">
        <f t="shared" si="0"/>
        <v>37.3</v>
      </c>
      <c r="J11" s="33"/>
      <c r="K11" s="33"/>
      <c r="L11" s="33">
        <f t="shared" si="3"/>
        <v>-23.900000000000006</v>
      </c>
      <c r="M11" s="33">
        <f t="shared" si="4"/>
        <v>60.94771241830065</v>
      </c>
    </row>
    <row r="12" spans="1:13" ht="94.5" hidden="1">
      <c r="A12" s="101"/>
      <c r="B12" s="101"/>
      <c r="C12" s="22" t="s">
        <v>22</v>
      </c>
      <c r="D12" s="48" t="s">
        <v>23</v>
      </c>
      <c r="E12" s="33"/>
      <c r="F12" s="33"/>
      <c r="G12" s="33"/>
      <c r="H12" s="33"/>
      <c r="I12" s="33">
        <f t="shared" si="0"/>
        <v>0</v>
      </c>
      <c r="J12" s="33"/>
      <c r="K12" s="33"/>
      <c r="L12" s="33">
        <f t="shared" si="3"/>
        <v>0</v>
      </c>
      <c r="M12" s="33"/>
    </row>
    <row r="13" spans="1:13" ht="47.25" hidden="1">
      <c r="A13" s="101"/>
      <c r="B13" s="101"/>
      <c r="C13" s="22" t="s">
        <v>24</v>
      </c>
      <c r="D13" s="36" t="s">
        <v>25</v>
      </c>
      <c r="E13" s="33">
        <v>132060</v>
      </c>
      <c r="F13" s="33">
        <v>1162983.4</v>
      </c>
      <c r="G13" s="33">
        <v>528827</v>
      </c>
      <c r="H13" s="33">
        <v>424318.2</v>
      </c>
      <c r="I13" s="33">
        <f t="shared" si="0"/>
        <v>-104508.79999999999</v>
      </c>
      <c r="J13" s="33">
        <f t="shared" si="1"/>
        <v>80.23762024253679</v>
      </c>
      <c r="K13" s="33">
        <f t="shared" si="2"/>
        <v>36.485318707042595</v>
      </c>
      <c r="L13" s="33">
        <f t="shared" si="3"/>
        <v>292258.2</v>
      </c>
      <c r="M13" s="33">
        <f t="shared" si="4"/>
        <v>321.30713312130854</v>
      </c>
    </row>
    <row r="14" spans="1:13" ht="47.25" hidden="1">
      <c r="A14" s="101"/>
      <c r="B14" s="101"/>
      <c r="C14" s="22" t="s">
        <v>26</v>
      </c>
      <c r="D14" s="36" t="s">
        <v>27</v>
      </c>
      <c r="E14" s="33"/>
      <c r="F14" s="33">
        <f>1709.2-1709.2</f>
        <v>0</v>
      </c>
      <c r="G14" s="33"/>
      <c r="H14" s="33"/>
      <c r="I14" s="33">
        <f t="shared" si="0"/>
        <v>0</v>
      </c>
      <c r="J14" s="33"/>
      <c r="K14" s="33"/>
      <c r="L14" s="33">
        <f t="shared" si="3"/>
        <v>0</v>
      </c>
      <c r="M14" s="33"/>
    </row>
    <row r="15" spans="1:13" ht="267.75" hidden="1">
      <c r="A15" s="101"/>
      <c r="B15" s="101"/>
      <c r="C15" s="23" t="s">
        <v>28</v>
      </c>
      <c r="D15" s="34" t="s">
        <v>29</v>
      </c>
      <c r="E15" s="33">
        <f>SUM(E16:E17)</f>
        <v>13</v>
      </c>
      <c r="F15" s="33">
        <f>SUM(F16:F17)</f>
        <v>0</v>
      </c>
      <c r="G15" s="33">
        <f>SUM(G16:G17)</f>
        <v>0</v>
      </c>
      <c r="H15" s="33">
        <f>SUM(H16:H17)</f>
        <v>104.6</v>
      </c>
      <c r="I15" s="33">
        <f t="shared" si="0"/>
        <v>104.6</v>
      </c>
      <c r="J15" s="33"/>
      <c r="K15" s="33"/>
      <c r="L15" s="33">
        <f t="shared" si="3"/>
        <v>91.6</v>
      </c>
      <c r="M15" s="33">
        <f t="shared" si="4"/>
        <v>804.6153846153846</v>
      </c>
    </row>
    <row r="16" spans="1:13" ht="63" hidden="1">
      <c r="A16" s="101"/>
      <c r="B16" s="101"/>
      <c r="C16" s="22" t="s">
        <v>30</v>
      </c>
      <c r="D16" s="49" t="s">
        <v>31</v>
      </c>
      <c r="E16" s="33"/>
      <c r="F16" s="33"/>
      <c r="G16" s="33"/>
      <c r="H16" s="33">
        <v>89.3</v>
      </c>
      <c r="I16" s="33">
        <f t="shared" si="0"/>
        <v>89.3</v>
      </c>
      <c r="J16" s="33" t="e">
        <f t="shared" si="1"/>
        <v>#DIV/0!</v>
      </c>
      <c r="K16" s="33" t="e">
        <f t="shared" si="2"/>
        <v>#DIV/0!</v>
      </c>
      <c r="L16" s="33">
        <f t="shared" si="3"/>
        <v>89.3</v>
      </c>
      <c r="M16" s="33" t="e">
        <f t="shared" si="4"/>
        <v>#DIV/0!</v>
      </c>
    </row>
    <row r="17" spans="1:13" ht="47.25" hidden="1">
      <c r="A17" s="101"/>
      <c r="B17" s="101"/>
      <c r="C17" s="22" t="s">
        <v>32</v>
      </c>
      <c r="D17" s="36" t="s">
        <v>33</v>
      </c>
      <c r="E17" s="33">
        <v>13</v>
      </c>
      <c r="F17" s="33"/>
      <c r="G17" s="33"/>
      <c r="H17" s="33">
        <v>15.3</v>
      </c>
      <c r="I17" s="33">
        <f t="shared" si="0"/>
        <v>15.3</v>
      </c>
      <c r="J17" s="33" t="e">
        <f t="shared" si="1"/>
        <v>#DIV/0!</v>
      </c>
      <c r="K17" s="33" t="e">
        <f t="shared" si="2"/>
        <v>#DIV/0!</v>
      </c>
      <c r="L17" s="33">
        <f t="shared" si="3"/>
        <v>2.3000000000000007</v>
      </c>
      <c r="M17" s="33">
        <f t="shared" si="4"/>
        <v>117.6923076923077</v>
      </c>
    </row>
    <row r="18" spans="1:13" ht="267.75" hidden="1">
      <c r="A18" s="101"/>
      <c r="B18" s="101"/>
      <c r="C18" s="23" t="s">
        <v>34</v>
      </c>
      <c r="D18" s="34" t="s">
        <v>35</v>
      </c>
      <c r="E18" s="33">
        <v>5.4</v>
      </c>
      <c r="F18" s="33"/>
      <c r="G18" s="33"/>
      <c r="H18" s="33">
        <v>-5108.4</v>
      </c>
      <c r="I18" s="33">
        <f t="shared" si="0"/>
        <v>-5108.4</v>
      </c>
      <c r="J18" s="33"/>
      <c r="K18" s="33"/>
      <c r="L18" s="33">
        <f t="shared" si="3"/>
        <v>-5113.799999999999</v>
      </c>
      <c r="M18" s="33">
        <f t="shared" si="4"/>
        <v>-94599.99999999999</v>
      </c>
    </row>
    <row r="19" spans="1:13" ht="267.75" hidden="1">
      <c r="A19" s="101"/>
      <c r="B19" s="101"/>
      <c r="C19" s="23" t="s">
        <v>36</v>
      </c>
      <c r="D19" s="34" t="s">
        <v>37</v>
      </c>
      <c r="E19" s="33">
        <v>409.4</v>
      </c>
      <c r="F19" s="33"/>
      <c r="G19" s="33"/>
      <c r="H19" s="33">
        <v>427.2</v>
      </c>
      <c r="I19" s="33">
        <f t="shared" si="0"/>
        <v>427.2</v>
      </c>
      <c r="J19" s="33"/>
      <c r="K19" s="33"/>
      <c r="L19" s="33">
        <f t="shared" si="3"/>
        <v>17.80000000000001</v>
      </c>
      <c r="M19" s="33">
        <f t="shared" si="4"/>
        <v>104.34782608695652</v>
      </c>
    </row>
    <row r="20" spans="1:13" ht="267.75" hidden="1">
      <c r="A20" s="101"/>
      <c r="B20" s="101"/>
      <c r="C20" s="23" t="s">
        <v>39</v>
      </c>
      <c r="D20" s="34" t="s">
        <v>40</v>
      </c>
      <c r="E20" s="33">
        <v>17973.8</v>
      </c>
      <c r="F20" s="33">
        <v>5030.2</v>
      </c>
      <c r="G20" s="33">
        <v>5030.2</v>
      </c>
      <c r="H20" s="33">
        <v>5030.2</v>
      </c>
      <c r="I20" s="33">
        <f t="shared" si="0"/>
        <v>0</v>
      </c>
      <c r="J20" s="33">
        <f t="shared" si="1"/>
        <v>100</v>
      </c>
      <c r="K20" s="33">
        <f t="shared" si="2"/>
        <v>100</v>
      </c>
      <c r="L20" s="33">
        <f t="shared" si="3"/>
        <v>-12943.599999999999</v>
      </c>
      <c r="M20" s="33">
        <f t="shared" si="4"/>
        <v>27.98629115712871</v>
      </c>
    </row>
    <row r="21" spans="1:13" ht="267.75" hidden="1">
      <c r="A21" s="101"/>
      <c r="B21" s="101"/>
      <c r="C21" s="23" t="s">
        <v>41</v>
      </c>
      <c r="D21" s="34" t="s">
        <v>42</v>
      </c>
      <c r="E21" s="33">
        <v>77.9</v>
      </c>
      <c r="F21" s="33"/>
      <c r="G21" s="33"/>
      <c r="H21" s="33"/>
      <c r="I21" s="33">
        <f t="shared" si="0"/>
        <v>0</v>
      </c>
      <c r="J21" s="33"/>
      <c r="K21" s="33"/>
      <c r="L21" s="33">
        <f t="shared" si="3"/>
        <v>-77.9</v>
      </c>
      <c r="M21" s="33">
        <f t="shared" si="4"/>
        <v>0</v>
      </c>
    </row>
    <row r="22" spans="1:13" ht="267.75" hidden="1">
      <c r="A22" s="101"/>
      <c r="B22" s="101"/>
      <c r="C22" s="23" t="s">
        <v>43</v>
      </c>
      <c r="D22" s="34" t="s">
        <v>38</v>
      </c>
      <c r="E22" s="33"/>
      <c r="F22" s="33"/>
      <c r="G22" s="33"/>
      <c r="H22" s="33"/>
      <c r="I22" s="33">
        <f t="shared" si="0"/>
        <v>0</v>
      </c>
      <c r="J22" s="33" t="e">
        <f t="shared" si="1"/>
        <v>#DIV/0!</v>
      </c>
      <c r="K22" s="33" t="e">
        <f t="shared" si="2"/>
        <v>#DIV/0!</v>
      </c>
      <c r="L22" s="33">
        <f t="shared" si="3"/>
        <v>0</v>
      </c>
      <c r="M22" s="33" t="e">
        <f t="shared" si="4"/>
        <v>#DIV/0!</v>
      </c>
    </row>
    <row r="23" spans="1:14" ht="15.75" hidden="1">
      <c r="A23" s="101"/>
      <c r="B23" s="101"/>
      <c r="C23" s="24"/>
      <c r="D23" s="3" t="s">
        <v>44</v>
      </c>
      <c r="E23" s="4">
        <f>SUM(E6:E15,E18:E22)</f>
        <v>386530.60000000003</v>
      </c>
      <c r="F23" s="4">
        <f>SUM(F6:F15,F18:F22)</f>
        <v>1592351.2999999998</v>
      </c>
      <c r="G23" s="4">
        <f>SUM(G6:G15,G18:G22)</f>
        <v>768086.8999999999</v>
      </c>
      <c r="H23" s="4">
        <f>SUM(H6:H15,H18:H22)</f>
        <v>637429.7</v>
      </c>
      <c r="I23" s="4">
        <f t="shared" si="0"/>
        <v>-130657.19999999995</v>
      </c>
      <c r="J23" s="4">
        <f t="shared" si="1"/>
        <v>82.98926853198512</v>
      </c>
      <c r="K23" s="4">
        <f t="shared" si="2"/>
        <v>40.03072060794625</v>
      </c>
      <c r="L23" s="4">
        <f t="shared" si="3"/>
        <v>250899.09999999992</v>
      </c>
      <c r="M23" s="4">
        <f t="shared" si="4"/>
        <v>164.9105400710836</v>
      </c>
      <c r="N23" s="5"/>
    </row>
    <row r="24" spans="1:13" ht="267.75" hidden="1">
      <c r="A24" s="101"/>
      <c r="B24" s="101"/>
      <c r="C24" s="23" t="s">
        <v>45</v>
      </c>
      <c r="D24" s="50" t="s">
        <v>46</v>
      </c>
      <c r="E24" s="33">
        <v>1524036.9</v>
      </c>
      <c r="F24" s="33">
        <v>2752050.4</v>
      </c>
      <c r="G24" s="33">
        <v>1676824.3</v>
      </c>
      <c r="H24" s="33">
        <f>1468201.6+13.2</f>
        <v>1468214.8</v>
      </c>
      <c r="I24" s="33">
        <f t="shared" si="0"/>
        <v>-208609.5</v>
      </c>
      <c r="J24" s="33">
        <f t="shared" si="1"/>
        <v>87.55925113919211</v>
      </c>
      <c r="K24" s="33">
        <f t="shared" si="2"/>
        <v>53.349851441674176</v>
      </c>
      <c r="L24" s="33">
        <f t="shared" si="3"/>
        <v>-55822.09999999986</v>
      </c>
      <c r="M24" s="33">
        <f t="shared" si="4"/>
        <v>96.33722123132321</v>
      </c>
    </row>
    <row r="25" spans="1:14" ht="15.75" hidden="1">
      <c r="A25" s="101"/>
      <c r="B25" s="101"/>
      <c r="C25" s="24"/>
      <c r="D25" s="3" t="s">
        <v>47</v>
      </c>
      <c r="E25" s="4">
        <f>SUM(E24)</f>
        <v>1524036.9</v>
      </c>
      <c r="F25" s="4">
        <f>SUM(F24)</f>
        <v>2752050.4</v>
      </c>
      <c r="G25" s="4">
        <f>SUM(G24)</f>
        <v>1676824.3</v>
      </c>
      <c r="H25" s="4">
        <f>SUM(H24)</f>
        <v>1468214.8</v>
      </c>
      <c r="I25" s="4">
        <f t="shared" si="0"/>
        <v>-208609.5</v>
      </c>
      <c r="J25" s="4">
        <f t="shared" si="1"/>
        <v>87.55925113919211</v>
      </c>
      <c r="K25" s="4">
        <f t="shared" si="2"/>
        <v>53.349851441674176</v>
      </c>
      <c r="L25" s="4">
        <f t="shared" si="3"/>
        <v>-55822.09999999986</v>
      </c>
      <c r="M25" s="4">
        <f t="shared" si="4"/>
        <v>96.33722123132321</v>
      </c>
      <c r="N25" s="5"/>
    </row>
    <row r="26" spans="1:14" ht="31.5" hidden="1">
      <c r="A26" s="101"/>
      <c r="B26" s="101"/>
      <c r="C26" s="24"/>
      <c r="D26" s="3" t="s">
        <v>48</v>
      </c>
      <c r="E26" s="4">
        <f>E27-E22</f>
        <v>1910567.5</v>
      </c>
      <c r="F26" s="4">
        <f>F27-F22</f>
        <v>4344401.699999999</v>
      </c>
      <c r="G26" s="4">
        <f>G27-G22</f>
        <v>2444911.2</v>
      </c>
      <c r="H26" s="4">
        <f>H27-H22</f>
        <v>2105644.5</v>
      </c>
      <c r="I26" s="4">
        <f t="shared" si="0"/>
        <v>-339266.7000000002</v>
      </c>
      <c r="J26" s="4">
        <f t="shared" si="1"/>
        <v>86.12355737091801</v>
      </c>
      <c r="K26" s="4">
        <f t="shared" si="2"/>
        <v>48.46799733090981</v>
      </c>
      <c r="L26" s="4">
        <f t="shared" si="3"/>
        <v>195077</v>
      </c>
      <c r="M26" s="4">
        <f t="shared" si="4"/>
        <v>110.2104217725885</v>
      </c>
      <c r="N26" s="5"/>
    </row>
    <row r="27" spans="1:14" ht="15.75" hidden="1">
      <c r="A27" s="102"/>
      <c r="B27" s="102"/>
      <c r="C27" s="24"/>
      <c r="D27" s="3" t="s">
        <v>49</v>
      </c>
      <c r="E27" s="4">
        <f>E23+E25</f>
        <v>1910567.5</v>
      </c>
      <c r="F27" s="4">
        <f>F23+F25</f>
        <v>4344401.699999999</v>
      </c>
      <c r="G27" s="4">
        <f>G23+G25</f>
        <v>2444911.2</v>
      </c>
      <c r="H27" s="4">
        <f>H23+H25</f>
        <v>2105644.5</v>
      </c>
      <c r="I27" s="4">
        <f t="shared" si="0"/>
        <v>-339266.7000000002</v>
      </c>
      <c r="J27" s="4">
        <f t="shared" si="1"/>
        <v>86.12355737091801</v>
      </c>
      <c r="K27" s="4">
        <f t="shared" si="2"/>
        <v>48.46799733090981</v>
      </c>
      <c r="L27" s="4">
        <f t="shared" si="3"/>
        <v>195077</v>
      </c>
      <c r="M27" s="4">
        <f t="shared" si="4"/>
        <v>110.2104217725885</v>
      </c>
      <c r="N27" s="5"/>
    </row>
    <row r="28" spans="1:13" ht="267.75" hidden="1">
      <c r="A28" s="100" t="s">
        <v>50</v>
      </c>
      <c r="B28" s="103" t="s">
        <v>51</v>
      </c>
      <c r="C28" s="23" t="s">
        <v>20</v>
      </c>
      <c r="D28" s="47" t="s">
        <v>21</v>
      </c>
      <c r="E28" s="33">
        <v>19252.6</v>
      </c>
      <c r="F28" s="33">
        <v>7800</v>
      </c>
      <c r="G28" s="33">
        <v>2060</v>
      </c>
      <c r="H28" s="33">
        <v>3349.7</v>
      </c>
      <c r="I28" s="33">
        <f t="shared" si="0"/>
        <v>1289.6999999999998</v>
      </c>
      <c r="J28" s="33">
        <f t="shared" si="1"/>
        <v>162.60679611650482</v>
      </c>
      <c r="K28" s="33">
        <f t="shared" si="2"/>
        <v>42.944871794871794</v>
      </c>
      <c r="L28" s="33">
        <f t="shared" si="3"/>
        <v>-15902.899999999998</v>
      </c>
      <c r="M28" s="33">
        <f t="shared" si="4"/>
        <v>17.39868900823785</v>
      </c>
    </row>
    <row r="29" spans="1:13" ht="267.75" hidden="1">
      <c r="A29" s="104"/>
      <c r="B29" s="106"/>
      <c r="C29" s="23" t="s">
        <v>18</v>
      </c>
      <c r="D29" s="36" t="s">
        <v>19</v>
      </c>
      <c r="E29" s="33"/>
      <c r="F29" s="33"/>
      <c r="G29" s="33"/>
      <c r="H29" s="33"/>
      <c r="I29" s="33">
        <f t="shared" si="0"/>
        <v>0</v>
      </c>
      <c r="J29" s="33" t="e">
        <f t="shared" si="1"/>
        <v>#DIV/0!</v>
      </c>
      <c r="K29" s="33" t="e">
        <f t="shared" si="2"/>
        <v>#DIV/0!</v>
      </c>
      <c r="L29" s="33">
        <f t="shared" si="3"/>
        <v>0</v>
      </c>
      <c r="M29" s="33" t="e">
        <f t="shared" si="4"/>
        <v>#DIV/0!</v>
      </c>
    </row>
    <row r="30" spans="1:13" ht="267.75" hidden="1">
      <c r="A30" s="104"/>
      <c r="B30" s="106"/>
      <c r="C30" s="23" t="s">
        <v>28</v>
      </c>
      <c r="D30" s="34" t="s">
        <v>29</v>
      </c>
      <c r="E30" s="33">
        <f>SUM(E31:E33)</f>
        <v>148.1</v>
      </c>
      <c r="F30" s="33">
        <f>SUM(F31:F33)</f>
        <v>0</v>
      </c>
      <c r="G30" s="33">
        <f>SUM(G31:G33)</f>
        <v>0</v>
      </c>
      <c r="H30" s="33">
        <f>SUM(H31:H33)</f>
        <v>5</v>
      </c>
      <c r="I30" s="33">
        <f t="shared" si="0"/>
        <v>5</v>
      </c>
      <c r="J30" s="33"/>
      <c r="K30" s="33"/>
      <c r="L30" s="33">
        <f t="shared" si="3"/>
        <v>-143.1</v>
      </c>
      <c r="M30" s="33">
        <f t="shared" si="4"/>
        <v>3.37609723160027</v>
      </c>
    </row>
    <row r="31" spans="1:13" ht="31.5" hidden="1">
      <c r="A31" s="104"/>
      <c r="B31" s="106"/>
      <c r="C31" s="22" t="s">
        <v>52</v>
      </c>
      <c r="D31" s="36" t="s">
        <v>53</v>
      </c>
      <c r="E31" s="33">
        <v>148.1</v>
      </c>
      <c r="F31" s="33"/>
      <c r="G31" s="33"/>
      <c r="H31" s="33"/>
      <c r="I31" s="33">
        <f t="shared" si="0"/>
        <v>0</v>
      </c>
      <c r="J31" s="33"/>
      <c r="K31" s="33"/>
      <c r="L31" s="33">
        <f t="shared" si="3"/>
        <v>-148.1</v>
      </c>
      <c r="M31" s="33">
        <f t="shared" si="4"/>
        <v>0</v>
      </c>
    </row>
    <row r="32" spans="1:13" ht="47.25" hidden="1">
      <c r="A32" s="104"/>
      <c r="B32" s="106"/>
      <c r="C32" s="22" t="s">
        <v>54</v>
      </c>
      <c r="D32" s="49" t="s">
        <v>55</v>
      </c>
      <c r="E32" s="33"/>
      <c r="F32" s="33"/>
      <c r="G32" s="33"/>
      <c r="H32" s="33"/>
      <c r="I32" s="33">
        <f t="shared" si="0"/>
        <v>0</v>
      </c>
      <c r="J32" s="33"/>
      <c r="K32" s="33"/>
      <c r="L32" s="33">
        <f t="shared" si="3"/>
        <v>0</v>
      </c>
      <c r="M32" s="33" t="e">
        <f t="shared" si="4"/>
        <v>#DIV/0!</v>
      </c>
    </row>
    <row r="33" spans="1:13" ht="47.25" hidden="1">
      <c r="A33" s="104"/>
      <c r="B33" s="106"/>
      <c r="C33" s="22" t="s">
        <v>32</v>
      </c>
      <c r="D33" s="36" t="s">
        <v>33</v>
      </c>
      <c r="E33" s="33"/>
      <c r="F33" s="33"/>
      <c r="G33" s="33"/>
      <c r="H33" s="33">
        <v>5</v>
      </c>
      <c r="I33" s="33">
        <f t="shared" si="0"/>
        <v>5</v>
      </c>
      <c r="J33" s="33"/>
      <c r="K33" s="33"/>
      <c r="L33" s="33">
        <f t="shared" si="3"/>
        <v>5</v>
      </c>
      <c r="M33" s="33" t="e">
        <f t="shared" si="4"/>
        <v>#DIV/0!</v>
      </c>
    </row>
    <row r="34" spans="1:13" ht="267.75" hidden="1">
      <c r="A34" s="104"/>
      <c r="B34" s="106"/>
      <c r="C34" s="23" t="s">
        <v>34</v>
      </c>
      <c r="D34" s="34" t="s">
        <v>35</v>
      </c>
      <c r="E34" s="33">
        <v>325.9</v>
      </c>
      <c r="F34" s="33"/>
      <c r="G34" s="33"/>
      <c r="H34" s="33">
        <v>343</v>
      </c>
      <c r="I34" s="33">
        <f t="shared" si="0"/>
        <v>343</v>
      </c>
      <c r="J34" s="33"/>
      <c r="K34" s="33"/>
      <c r="L34" s="33">
        <f t="shared" si="3"/>
        <v>17.100000000000023</v>
      </c>
      <c r="M34" s="33">
        <f t="shared" si="4"/>
        <v>105.24700828474994</v>
      </c>
    </row>
    <row r="35" spans="1:13" ht="267.75" hidden="1">
      <c r="A35" s="104"/>
      <c r="B35" s="106"/>
      <c r="C35" s="23" t="s">
        <v>36</v>
      </c>
      <c r="D35" s="34" t="s">
        <v>37</v>
      </c>
      <c r="E35" s="33"/>
      <c r="F35" s="33"/>
      <c r="G35" s="33"/>
      <c r="H35" s="33"/>
      <c r="I35" s="33">
        <f t="shared" si="0"/>
        <v>0</v>
      </c>
      <c r="J35" s="33" t="e">
        <f t="shared" si="1"/>
        <v>#DIV/0!</v>
      </c>
      <c r="K35" s="33" t="e">
        <f t="shared" si="2"/>
        <v>#DIV/0!</v>
      </c>
      <c r="L35" s="33">
        <f t="shared" si="3"/>
        <v>0</v>
      </c>
      <c r="M35" s="33" t="e">
        <f t="shared" si="4"/>
        <v>#DIV/0!</v>
      </c>
    </row>
    <row r="36" spans="1:13" ht="267.75" hidden="1">
      <c r="A36" s="104"/>
      <c r="B36" s="106"/>
      <c r="C36" s="23" t="s">
        <v>56</v>
      </c>
      <c r="D36" s="34" t="s">
        <v>57</v>
      </c>
      <c r="E36" s="33"/>
      <c r="F36" s="33"/>
      <c r="G36" s="33"/>
      <c r="H36" s="33"/>
      <c r="I36" s="33">
        <f t="shared" si="0"/>
        <v>0</v>
      </c>
      <c r="J36" s="33" t="e">
        <f t="shared" si="1"/>
        <v>#DIV/0!</v>
      </c>
      <c r="K36" s="33" t="e">
        <f t="shared" si="2"/>
        <v>#DIV/0!</v>
      </c>
      <c r="L36" s="33">
        <f t="shared" si="3"/>
        <v>0</v>
      </c>
      <c r="M36" s="33" t="e">
        <f t="shared" si="4"/>
        <v>#DIV/0!</v>
      </c>
    </row>
    <row r="37" spans="1:13" ht="267.75" hidden="1">
      <c r="A37" s="104"/>
      <c r="B37" s="106"/>
      <c r="C37" s="23" t="s">
        <v>39</v>
      </c>
      <c r="D37" s="34" t="s">
        <v>58</v>
      </c>
      <c r="E37" s="33"/>
      <c r="F37" s="33">
        <v>1197.2</v>
      </c>
      <c r="G37" s="33"/>
      <c r="H37" s="33"/>
      <c r="I37" s="33">
        <f t="shared" si="0"/>
        <v>0</v>
      </c>
      <c r="J37" s="33"/>
      <c r="K37" s="33">
        <f t="shared" si="2"/>
        <v>0</v>
      </c>
      <c r="L37" s="33">
        <f t="shared" si="3"/>
        <v>0</v>
      </c>
      <c r="M37" s="33"/>
    </row>
    <row r="38" spans="1:13" ht="267.75" hidden="1">
      <c r="A38" s="104"/>
      <c r="B38" s="106"/>
      <c r="C38" s="23" t="s">
        <v>41</v>
      </c>
      <c r="D38" s="34" t="s">
        <v>42</v>
      </c>
      <c r="E38" s="33"/>
      <c r="F38" s="33"/>
      <c r="G38" s="33"/>
      <c r="H38" s="33"/>
      <c r="I38" s="33">
        <f t="shared" si="0"/>
        <v>0</v>
      </c>
      <c r="J38" s="33" t="e">
        <f t="shared" si="1"/>
        <v>#DIV/0!</v>
      </c>
      <c r="K38" s="33" t="e">
        <f t="shared" si="2"/>
        <v>#DIV/0!</v>
      </c>
      <c r="L38" s="33">
        <f t="shared" si="3"/>
        <v>0</v>
      </c>
      <c r="M38" s="33" t="e">
        <f t="shared" si="4"/>
        <v>#DIV/0!</v>
      </c>
    </row>
    <row r="39" spans="1:13" ht="267.75" hidden="1">
      <c r="A39" s="104"/>
      <c r="B39" s="106"/>
      <c r="C39" s="23" t="s">
        <v>59</v>
      </c>
      <c r="D39" s="36" t="s">
        <v>60</v>
      </c>
      <c r="E39" s="33"/>
      <c r="F39" s="33"/>
      <c r="G39" s="33"/>
      <c r="H39" s="33"/>
      <c r="I39" s="33">
        <f t="shared" si="0"/>
        <v>0</v>
      </c>
      <c r="J39" s="33" t="e">
        <f t="shared" si="1"/>
        <v>#DIV/0!</v>
      </c>
      <c r="K39" s="33" t="e">
        <f t="shared" si="2"/>
        <v>#DIV/0!</v>
      </c>
      <c r="L39" s="33">
        <f t="shared" si="3"/>
        <v>0</v>
      </c>
      <c r="M39" s="33" t="e">
        <f t="shared" si="4"/>
        <v>#DIV/0!</v>
      </c>
    </row>
    <row r="40" spans="1:13" ht="267.75" hidden="1">
      <c r="A40" s="104"/>
      <c r="B40" s="106"/>
      <c r="C40" s="23" t="s">
        <v>43</v>
      </c>
      <c r="D40" s="34" t="s">
        <v>38</v>
      </c>
      <c r="E40" s="33"/>
      <c r="F40" s="33"/>
      <c r="G40" s="33"/>
      <c r="H40" s="33"/>
      <c r="I40" s="33">
        <f t="shared" si="0"/>
        <v>0</v>
      </c>
      <c r="J40" s="33" t="e">
        <f t="shared" si="1"/>
        <v>#DIV/0!</v>
      </c>
      <c r="K40" s="33" t="e">
        <f t="shared" si="2"/>
        <v>#DIV/0!</v>
      </c>
      <c r="L40" s="33">
        <f t="shared" si="3"/>
        <v>0</v>
      </c>
      <c r="M40" s="33" t="e">
        <f t="shared" si="4"/>
        <v>#DIV/0!</v>
      </c>
    </row>
    <row r="41" spans="1:14" ht="15.75" hidden="1">
      <c r="A41" s="104"/>
      <c r="B41" s="106"/>
      <c r="C41" s="25"/>
      <c r="D41" s="3" t="s">
        <v>44</v>
      </c>
      <c r="E41" s="4">
        <f>SUM(E28:E30,E34:E40)</f>
        <v>19726.6</v>
      </c>
      <c r="F41" s="4">
        <f>SUM(F28:F30,F34:F40)</f>
        <v>8997.2</v>
      </c>
      <c r="G41" s="4">
        <f>SUM(G28:G30,G34:G40)</f>
        <v>2060</v>
      </c>
      <c r="H41" s="4">
        <f>SUM(H28:H30,H34:H40)</f>
        <v>3697.7</v>
      </c>
      <c r="I41" s="4">
        <f t="shared" si="0"/>
        <v>1637.6999999999998</v>
      </c>
      <c r="J41" s="4">
        <f t="shared" si="1"/>
        <v>179.5</v>
      </c>
      <c r="K41" s="4">
        <f t="shared" si="2"/>
        <v>41.098341706308624</v>
      </c>
      <c r="L41" s="4">
        <f t="shared" si="3"/>
        <v>-16028.899999999998</v>
      </c>
      <c r="M41" s="4">
        <f t="shared" si="4"/>
        <v>18.744740604057466</v>
      </c>
      <c r="N41" s="5"/>
    </row>
    <row r="42" spans="1:14" ht="267.75" hidden="1">
      <c r="A42" s="104"/>
      <c r="B42" s="106"/>
      <c r="C42" s="23" t="s">
        <v>212</v>
      </c>
      <c r="D42" s="51" t="s">
        <v>213</v>
      </c>
      <c r="E42" s="4"/>
      <c r="F42" s="4"/>
      <c r="G42" s="4"/>
      <c r="H42" s="33">
        <v>2.8</v>
      </c>
      <c r="I42" s="33">
        <f t="shared" si="0"/>
        <v>2.8</v>
      </c>
      <c r="J42" s="33"/>
      <c r="K42" s="33"/>
      <c r="L42" s="33">
        <f t="shared" si="3"/>
        <v>2.8</v>
      </c>
      <c r="M42" s="4"/>
      <c r="N42" s="5"/>
    </row>
    <row r="43" spans="1:13" ht="346.5" hidden="1">
      <c r="A43" s="104"/>
      <c r="B43" s="106"/>
      <c r="C43" s="26" t="s">
        <v>61</v>
      </c>
      <c r="D43" s="51" t="s">
        <v>62</v>
      </c>
      <c r="E43" s="33">
        <v>571</v>
      </c>
      <c r="F43" s="33">
        <f>443+250</f>
        <v>693</v>
      </c>
      <c r="G43" s="33">
        <f>261.9+125</f>
        <v>386.9</v>
      </c>
      <c r="H43" s="33">
        <f>247.2+337.3</f>
        <v>584.5</v>
      </c>
      <c r="I43" s="33">
        <f t="shared" si="0"/>
        <v>197.60000000000002</v>
      </c>
      <c r="J43" s="33">
        <f t="shared" si="1"/>
        <v>151.072628586198</v>
      </c>
      <c r="K43" s="33">
        <f t="shared" si="2"/>
        <v>84.34343434343434</v>
      </c>
      <c r="L43" s="33">
        <f t="shared" si="3"/>
        <v>13.5</v>
      </c>
      <c r="M43" s="33">
        <f t="shared" si="4"/>
        <v>102.36427320490368</v>
      </c>
    </row>
    <row r="44" spans="1:13" ht="267.75" hidden="1">
      <c r="A44" s="104"/>
      <c r="B44" s="106"/>
      <c r="C44" s="23" t="s">
        <v>63</v>
      </c>
      <c r="D44" s="50" t="s">
        <v>64</v>
      </c>
      <c r="E44" s="52">
        <v>261.6</v>
      </c>
      <c r="F44" s="8"/>
      <c r="G44" s="8"/>
      <c r="H44" s="52">
        <f>3.7+7.1+155.1</f>
        <v>165.9</v>
      </c>
      <c r="I44" s="52">
        <f t="shared" si="0"/>
        <v>165.9</v>
      </c>
      <c r="J44" s="52"/>
      <c r="K44" s="52"/>
      <c r="L44" s="52">
        <f t="shared" si="3"/>
        <v>-95.70000000000002</v>
      </c>
      <c r="M44" s="52">
        <f t="shared" si="4"/>
        <v>63.417431192660544</v>
      </c>
    </row>
    <row r="45" spans="1:13" ht="267.75" hidden="1">
      <c r="A45" s="104"/>
      <c r="B45" s="106"/>
      <c r="C45" s="23" t="s">
        <v>28</v>
      </c>
      <c r="D45" s="34" t="s">
        <v>29</v>
      </c>
      <c r="E45" s="33">
        <f>SUM(E46:E46)</f>
        <v>0</v>
      </c>
      <c r="F45" s="33">
        <f>SUM(F46:F46)</f>
        <v>30</v>
      </c>
      <c r="G45" s="33">
        <f>SUM(G46:G46)</f>
        <v>30</v>
      </c>
      <c r="H45" s="33">
        <f>SUM(H46:H46)</f>
        <v>106</v>
      </c>
      <c r="I45" s="33">
        <f t="shared" si="0"/>
        <v>76</v>
      </c>
      <c r="J45" s="33">
        <f t="shared" si="1"/>
        <v>353.3333333333333</v>
      </c>
      <c r="K45" s="33">
        <f t="shared" si="2"/>
        <v>353.3333333333333</v>
      </c>
      <c r="L45" s="33">
        <f t="shared" si="3"/>
        <v>106</v>
      </c>
      <c r="M45" s="33"/>
    </row>
    <row r="46" spans="1:13" ht="267.75" hidden="1">
      <c r="A46" s="104"/>
      <c r="B46" s="106"/>
      <c r="C46" s="23" t="s">
        <v>65</v>
      </c>
      <c r="D46" s="49" t="s">
        <v>66</v>
      </c>
      <c r="E46" s="33"/>
      <c r="F46" s="33">
        <v>30</v>
      </c>
      <c r="G46" s="33">
        <v>30</v>
      </c>
      <c r="H46" s="33">
        <v>106</v>
      </c>
      <c r="I46" s="33">
        <f t="shared" si="0"/>
        <v>76</v>
      </c>
      <c r="J46" s="33">
        <f t="shared" si="1"/>
        <v>353.3333333333333</v>
      </c>
      <c r="K46" s="33">
        <f t="shared" si="2"/>
        <v>353.3333333333333</v>
      </c>
      <c r="L46" s="33">
        <f t="shared" si="3"/>
        <v>106</v>
      </c>
      <c r="M46" s="33" t="e">
        <f t="shared" si="4"/>
        <v>#DIV/0!</v>
      </c>
    </row>
    <row r="47" spans="1:13" ht="267.75" hidden="1">
      <c r="A47" s="104"/>
      <c r="B47" s="106"/>
      <c r="C47" s="23" t="s">
        <v>39</v>
      </c>
      <c r="D47" s="34" t="s">
        <v>40</v>
      </c>
      <c r="E47" s="33"/>
      <c r="F47" s="33"/>
      <c r="G47" s="33"/>
      <c r="H47" s="33"/>
      <c r="I47" s="33">
        <f t="shared" si="0"/>
        <v>0</v>
      </c>
      <c r="J47" s="33" t="e">
        <f t="shared" si="1"/>
        <v>#DIV/0!</v>
      </c>
      <c r="K47" s="33" t="e">
        <f t="shared" si="2"/>
        <v>#DIV/0!</v>
      </c>
      <c r="L47" s="33">
        <f t="shared" si="3"/>
        <v>0</v>
      </c>
      <c r="M47" s="33" t="e">
        <f t="shared" si="4"/>
        <v>#DIV/0!</v>
      </c>
    </row>
    <row r="48" spans="1:14" ht="15.75" hidden="1">
      <c r="A48" s="104"/>
      <c r="B48" s="106"/>
      <c r="C48" s="25"/>
      <c r="D48" s="3" t="s">
        <v>47</v>
      </c>
      <c r="E48" s="8">
        <f>SUM(E42:E45,E47)</f>
        <v>832.6</v>
      </c>
      <c r="F48" s="8">
        <f>SUM(F42:F45,F47)</f>
        <v>723</v>
      </c>
      <c r="G48" s="8">
        <f>SUM(G42:G45,G47)</f>
        <v>416.9</v>
      </c>
      <c r="H48" s="8">
        <f>SUM(H42:H45,H47)</f>
        <v>859.1999999999999</v>
      </c>
      <c r="I48" s="8">
        <f t="shared" si="0"/>
        <v>442.29999999999995</v>
      </c>
      <c r="J48" s="8">
        <f t="shared" si="1"/>
        <v>206.09258815063563</v>
      </c>
      <c r="K48" s="8">
        <f t="shared" si="2"/>
        <v>118.83817427385893</v>
      </c>
      <c r="L48" s="8">
        <f t="shared" si="3"/>
        <v>26.59999999999991</v>
      </c>
      <c r="M48" s="8">
        <f t="shared" si="4"/>
        <v>103.19481143406198</v>
      </c>
      <c r="N48" s="5"/>
    </row>
    <row r="49" spans="1:14" ht="31.5" hidden="1">
      <c r="A49" s="104"/>
      <c r="B49" s="106"/>
      <c r="C49" s="25"/>
      <c r="D49" s="3" t="s">
        <v>48</v>
      </c>
      <c r="E49" s="8">
        <f>E50-E40</f>
        <v>20559.199999999997</v>
      </c>
      <c r="F49" s="8">
        <f>F50-F40</f>
        <v>9720.2</v>
      </c>
      <c r="G49" s="8">
        <f>G50-G40</f>
        <v>2476.9</v>
      </c>
      <c r="H49" s="8">
        <f>H50-H40</f>
        <v>4556.9</v>
      </c>
      <c r="I49" s="8">
        <f t="shared" si="0"/>
        <v>2079.9999999999995</v>
      </c>
      <c r="J49" s="8">
        <f t="shared" si="1"/>
        <v>183.97593766401548</v>
      </c>
      <c r="K49" s="8">
        <f t="shared" si="2"/>
        <v>46.88072261887615</v>
      </c>
      <c r="L49" s="8">
        <f t="shared" si="3"/>
        <v>-16002.299999999997</v>
      </c>
      <c r="M49" s="8">
        <f t="shared" si="4"/>
        <v>22.16477294836375</v>
      </c>
      <c r="N49" s="5"/>
    </row>
    <row r="50" spans="1:14" ht="15.75" hidden="1">
      <c r="A50" s="105"/>
      <c r="B50" s="107"/>
      <c r="C50" s="25"/>
      <c r="D50" s="3" t="s">
        <v>67</v>
      </c>
      <c r="E50" s="4">
        <f>E41+E48</f>
        <v>20559.199999999997</v>
      </c>
      <c r="F50" s="4">
        <f>F41+F48</f>
        <v>9720.2</v>
      </c>
      <c r="G50" s="4">
        <f>G41+G48</f>
        <v>2476.9</v>
      </c>
      <c r="H50" s="4">
        <f>H41+H48</f>
        <v>4556.9</v>
      </c>
      <c r="I50" s="4">
        <f t="shared" si="0"/>
        <v>2079.9999999999995</v>
      </c>
      <c r="J50" s="4">
        <f t="shared" si="1"/>
        <v>183.97593766401548</v>
      </c>
      <c r="K50" s="4">
        <f t="shared" si="2"/>
        <v>46.88072261887615</v>
      </c>
      <c r="L50" s="4">
        <f t="shared" si="3"/>
        <v>-16002.299999999997</v>
      </c>
      <c r="M50" s="4">
        <f t="shared" si="4"/>
        <v>22.16477294836375</v>
      </c>
      <c r="N50" s="5"/>
    </row>
    <row r="51" spans="1:13" ht="63" hidden="1">
      <c r="A51" s="100" t="s">
        <v>68</v>
      </c>
      <c r="B51" s="103" t="s">
        <v>69</v>
      </c>
      <c r="C51" s="22" t="s">
        <v>12</v>
      </c>
      <c r="D51" s="45" t="s">
        <v>13</v>
      </c>
      <c r="E51" s="52"/>
      <c r="F51" s="33"/>
      <c r="G51" s="52"/>
      <c r="H51" s="52"/>
      <c r="I51" s="52">
        <f t="shared" si="0"/>
        <v>0</v>
      </c>
      <c r="J51" s="52" t="e">
        <f t="shared" si="1"/>
        <v>#DIV/0!</v>
      </c>
      <c r="K51" s="52" t="e">
        <f t="shared" si="2"/>
        <v>#DIV/0!</v>
      </c>
      <c r="L51" s="52">
        <f t="shared" si="3"/>
        <v>0</v>
      </c>
      <c r="M51" s="52" t="e">
        <f t="shared" si="4"/>
        <v>#DIV/0!</v>
      </c>
    </row>
    <row r="52" spans="1:13" ht="267.75" hidden="1">
      <c r="A52" s="104"/>
      <c r="B52" s="106"/>
      <c r="C52" s="23" t="s">
        <v>20</v>
      </c>
      <c r="D52" s="47" t="s">
        <v>21</v>
      </c>
      <c r="E52" s="52">
        <v>2644.9</v>
      </c>
      <c r="F52" s="52">
        <v>96</v>
      </c>
      <c r="G52" s="52">
        <v>51</v>
      </c>
      <c r="H52" s="52">
        <v>281</v>
      </c>
      <c r="I52" s="52">
        <f t="shared" si="0"/>
        <v>230</v>
      </c>
      <c r="J52" s="52">
        <f t="shared" si="1"/>
        <v>550.9803921568628</v>
      </c>
      <c r="K52" s="52">
        <f t="shared" si="2"/>
        <v>292.70833333333337</v>
      </c>
      <c r="L52" s="52">
        <f t="shared" si="3"/>
        <v>-2363.9</v>
      </c>
      <c r="M52" s="52">
        <f t="shared" si="4"/>
        <v>10.624220197360959</v>
      </c>
    </row>
    <row r="53" spans="1:13" ht="47.25" hidden="1">
      <c r="A53" s="104"/>
      <c r="B53" s="106"/>
      <c r="C53" s="22" t="s">
        <v>26</v>
      </c>
      <c r="D53" s="36" t="s">
        <v>27</v>
      </c>
      <c r="E53" s="52">
        <v>-0.3</v>
      </c>
      <c r="F53" s="52"/>
      <c r="G53" s="52"/>
      <c r="H53" s="52"/>
      <c r="I53" s="52">
        <f t="shared" si="0"/>
        <v>0</v>
      </c>
      <c r="J53" s="52"/>
      <c r="K53" s="52"/>
      <c r="L53" s="52">
        <f t="shared" si="3"/>
        <v>0.3</v>
      </c>
      <c r="M53" s="52">
        <f t="shared" si="4"/>
        <v>0</v>
      </c>
    </row>
    <row r="54" spans="1:13" ht="267.75" hidden="1">
      <c r="A54" s="104"/>
      <c r="B54" s="106"/>
      <c r="C54" s="23" t="s">
        <v>28</v>
      </c>
      <c r="D54" s="34" t="s">
        <v>29</v>
      </c>
      <c r="E54" s="33">
        <f>E55</f>
        <v>0</v>
      </c>
      <c r="F54" s="33">
        <f>F55</f>
        <v>0</v>
      </c>
      <c r="G54" s="33">
        <f>G55</f>
        <v>0</v>
      </c>
      <c r="H54" s="33">
        <f>H55</f>
        <v>217.8</v>
      </c>
      <c r="I54" s="33">
        <f t="shared" si="0"/>
        <v>217.8</v>
      </c>
      <c r="J54" s="33"/>
      <c r="K54" s="33"/>
      <c r="L54" s="33">
        <f t="shared" si="3"/>
        <v>217.8</v>
      </c>
      <c r="M54" s="33"/>
    </row>
    <row r="55" spans="1:13" ht="47.25" hidden="1">
      <c r="A55" s="104"/>
      <c r="B55" s="106"/>
      <c r="C55" s="22" t="s">
        <v>32</v>
      </c>
      <c r="D55" s="36" t="s">
        <v>33</v>
      </c>
      <c r="E55" s="33"/>
      <c r="F55" s="33"/>
      <c r="G55" s="33"/>
      <c r="H55" s="33">
        <v>217.8</v>
      </c>
      <c r="I55" s="33">
        <f t="shared" si="0"/>
        <v>217.8</v>
      </c>
      <c r="J55" s="33"/>
      <c r="K55" s="33"/>
      <c r="L55" s="33">
        <f t="shared" si="3"/>
        <v>217.8</v>
      </c>
      <c r="M55" s="33" t="e">
        <f t="shared" si="4"/>
        <v>#DIV/0!</v>
      </c>
    </row>
    <row r="56" spans="1:13" ht="267.75" hidden="1">
      <c r="A56" s="104"/>
      <c r="B56" s="106"/>
      <c r="C56" s="23" t="s">
        <v>34</v>
      </c>
      <c r="D56" s="34" t="s">
        <v>35</v>
      </c>
      <c r="E56" s="52"/>
      <c r="F56" s="52"/>
      <c r="G56" s="52"/>
      <c r="H56" s="52"/>
      <c r="I56" s="52">
        <f t="shared" si="0"/>
        <v>0</v>
      </c>
      <c r="J56" s="52"/>
      <c r="K56" s="52"/>
      <c r="L56" s="52">
        <f t="shared" si="3"/>
        <v>0</v>
      </c>
      <c r="M56" s="52" t="e">
        <f t="shared" si="4"/>
        <v>#DIV/0!</v>
      </c>
    </row>
    <row r="57" spans="1:13" ht="267.75" hidden="1">
      <c r="A57" s="104"/>
      <c r="B57" s="106"/>
      <c r="C57" s="23" t="s">
        <v>41</v>
      </c>
      <c r="D57" s="34" t="s">
        <v>42</v>
      </c>
      <c r="E57" s="52">
        <v>16.7</v>
      </c>
      <c r="F57" s="52"/>
      <c r="G57" s="52"/>
      <c r="H57" s="52"/>
      <c r="I57" s="52">
        <f t="shared" si="0"/>
        <v>0</v>
      </c>
      <c r="J57" s="52"/>
      <c r="K57" s="52"/>
      <c r="L57" s="52">
        <f t="shared" si="3"/>
        <v>-16.7</v>
      </c>
      <c r="M57" s="52">
        <f t="shared" si="4"/>
        <v>0</v>
      </c>
    </row>
    <row r="58" spans="1:13" ht="267.75" hidden="1">
      <c r="A58" s="104"/>
      <c r="B58" s="106"/>
      <c r="C58" s="23" t="s">
        <v>70</v>
      </c>
      <c r="D58" s="34" t="s">
        <v>71</v>
      </c>
      <c r="E58" s="33"/>
      <c r="F58" s="52"/>
      <c r="G58" s="33"/>
      <c r="H58" s="33"/>
      <c r="I58" s="33">
        <f t="shared" si="0"/>
        <v>0</v>
      </c>
      <c r="J58" s="33" t="e">
        <f t="shared" si="1"/>
        <v>#DIV/0!</v>
      </c>
      <c r="K58" s="33" t="e">
        <f t="shared" si="2"/>
        <v>#DIV/0!</v>
      </c>
      <c r="L58" s="33">
        <f t="shared" si="3"/>
        <v>0</v>
      </c>
      <c r="M58" s="33" t="e">
        <f t="shared" si="4"/>
        <v>#DIV/0!</v>
      </c>
    </row>
    <row r="59" spans="1:13" ht="267.75" hidden="1">
      <c r="A59" s="104"/>
      <c r="B59" s="106"/>
      <c r="C59" s="23" t="s">
        <v>43</v>
      </c>
      <c r="D59" s="34" t="s">
        <v>38</v>
      </c>
      <c r="E59" s="33"/>
      <c r="F59" s="52"/>
      <c r="G59" s="33"/>
      <c r="H59" s="33"/>
      <c r="I59" s="33">
        <f t="shared" si="0"/>
        <v>0</v>
      </c>
      <c r="J59" s="33" t="e">
        <f t="shared" si="1"/>
        <v>#DIV/0!</v>
      </c>
      <c r="K59" s="33" t="e">
        <f t="shared" si="2"/>
        <v>#DIV/0!</v>
      </c>
      <c r="L59" s="33">
        <f t="shared" si="3"/>
        <v>0</v>
      </c>
      <c r="M59" s="33" t="e">
        <f t="shared" si="4"/>
        <v>#DIV/0!</v>
      </c>
    </row>
    <row r="60" spans="1:14" ht="15.75" hidden="1">
      <c r="A60" s="104"/>
      <c r="B60" s="106"/>
      <c r="C60" s="24"/>
      <c r="D60" s="3" t="s">
        <v>44</v>
      </c>
      <c r="E60" s="4">
        <f>SUM(E51:E54,E56:E59)</f>
        <v>2661.2999999999997</v>
      </c>
      <c r="F60" s="4">
        <f>SUM(F51:F54,F56:F59)</f>
        <v>96</v>
      </c>
      <c r="G60" s="4">
        <f>SUM(G51:G54,G56:G59)</f>
        <v>51</v>
      </c>
      <c r="H60" s="4">
        <f>SUM(H51:H54,H56:H59)</f>
        <v>498.8</v>
      </c>
      <c r="I60" s="4">
        <f t="shared" si="0"/>
        <v>447.8</v>
      </c>
      <c r="J60" s="4">
        <f t="shared" si="1"/>
        <v>978.0392156862746</v>
      </c>
      <c r="K60" s="4">
        <f t="shared" si="2"/>
        <v>519.5833333333334</v>
      </c>
      <c r="L60" s="4">
        <f t="shared" si="3"/>
        <v>-2162.4999999999995</v>
      </c>
      <c r="M60" s="4">
        <f t="shared" si="4"/>
        <v>18.742719723443432</v>
      </c>
      <c r="N60" s="5"/>
    </row>
    <row r="61" spans="1:13" ht="267.75" hidden="1">
      <c r="A61" s="104"/>
      <c r="B61" s="106"/>
      <c r="C61" s="23" t="s">
        <v>28</v>
      </c>
      <c r="D61" s="34" t="s">
        <v>29</v>
      </c>
      <c r="E61" s="33">
        <f>E62</f>
        <v>1723.2</v>
      </c>
      <c r="F61" s="33">
        <f>F62</f>
        <v>1500</v>
      </c>
      <c r="G61" s="33">
        <f>G62</f>
        <v>860</v>
      </c>
      <c r="H61" s="33">
        <f>H62</f>
        <v>2744.5</v>
      </c>
      <c r="I61" s="33">
        <f t="shared" si="0"/>
        <v>1884.5</v>
      </c>
      <c r="J61" s="33">
        <f t="shared" si="1"/>
        <v>319.12790697674416</v>
      </c>
      <c r="K61" s="33">
        <f t="shared" si="2"/>
        <v>182.96666666666667</v>
      </c>
      <c r="L61" s="33">
        <f t="shared" si="3"/>
        <v>1021.3</v>
      </c>
      <c r="M61" s="33">
        <f t="shared" si="4"/>
        <v>159.26764159702878</v>
      </c>
    </row>
    <row r="62" spans="1:13" ht="47.25" hidden="1">
      <c r="A62" s="104"/>
      <c r="B62" s="106"/>
      <c r="C62" s="22" t="s">
        <v>32</v>
      </c>
      <c r="D62" s="36" t="s">
        <v>33</v>
      </c>
      <c r="E62" s="33">
        <v>1723.2</v>
      </c>
      <c r="F62" s="33">
        <v>1500</v>
      </c>
      <c r="G62" s="33">
        <v>860</v>
      </c>
      <c r="H62" s="33">
        <v>2744.5</v>
      </c>
      <c r="I62" s="33">
        <f t="shared" si="0"/>
        <v>1884.5</v>
      </c>
      <c r="J62" s="33">
        <f t="shared" si="1"/>
        <v>319.12790697674416</v>
      </c>
      <c r="K62" s="33">
        <f t="shared" si="2"/>
        <v>182.96666666666667</v>
      </c>
      <c r="L62" s="33">
        <f t="shared" si="3"/>
        <v>1021.3</v>
      </c>
      <c r="M62" s="33">
        <f t="shared" si="4"/>
        <v>159.26764159702878</v>
      </c>
    </row>
    <row r="63" spans="1:14" ht="15.75" hidden="1">
      <c r="A63" s="104"/>
      <c r="B63" s="106"/>
      <c r="C63" s="24"/>
      <c r="D63" s="3" t="s">
        <v>47</v>
      </c>
      <c r="E63" s="4">
        <f>SUM(E61)</f>
        <v>1723.2</v>
      </c>
      <c r="F63" s="4">
        <f>SUM(F61)</f>
        <v>1500</v>
      </c>
      <c r="G63" s="4">
        <f>SUM(G61)</f>
        <v>860</v>
      </c>
      <c r="H63" s="4">
        <f>SUM(H61)</f>
        <v>2744.5</v>
      </c>
      <c r="I63" s="4">
        <f t="shared" si="0"/>
        <v>1884.5</v>
      </c>
      <c r="J63" s="4">
        <f t="shared" si="1"/>
        <v>319.12790697674416</v>
      </c>
      <c r="K63" s="4">
        <f t="shared" si="2"/>
        <v>182.96666666666667</v>
      </c>
      <c r="L63" s="4">
        <f t="shared" si="3"/>
        <v>1021.3</v>
      </c>
      <c r="M63" s="4">
        <f t="shared" si="4"/>
        <v>159.26764159702878</v>
      </c>
      <c r="N63" s="5"/>
    </row>
    <row r="64" spans="1:14" ht="31.5" hidden="1">
      <c r="A64" s="6"/>
      <c r="B64" s="7"/>
      <c r="C64" s="24"/>
      <c r="D64" s="3" t="s">
        <v>48</v>
      </c>
      <c r="E64" s="4">
        <f>E65-E59</f>
        <v>4384.5</v>
      </c>
      <c r="F64" s="4">
        <f>F65-F59</f>
        <v>1596</v>
      </c>
      <c r="G64" s="4">
        <f>G65-G59</f>
        <v>911</v>
      </c>
      <c r="H64" s="4">
        <f>H65-H59</f>
        <v>3243.3</v>
      </c>
      <c r="I64" s="4">
        <f t="shared" si="0"/>
        <v>2332.3</v>
      </c>
      <c r="J64" s="4">
        <f t="shared" si="1"/>
        <v>356.0153677277717</v>
      </c>
      <c r="K64" s="4">
        <f t="shared" si="2"/>
        <v>203.21428571428575</v>
      </c>
      <c r="L64" s="4">
        <f t="shared" si="3"/>
        <v>-1141.1999999999998</v>
      </c>
      <c r="M64" s="4">
        <f t="shared" si="4"/>
        <v>73.97194663017447</v>
      </c>
      <c r="N64" s="5"/>
    </row>
    <row r="65" spans="1:14" ht="15.75" hidden="1">
      <c r="A65" s="9"/>
      <c r="B65" s="9"/>
      <c r="C65" s="24"/>
      <c r="D65" s="3" t="s">
        <v>67</v>
      </c>
      <c r="E65" s="4">
        <f>E60+E63</f>
        <v>4384.5</v>
      </c>
      <c r="F65" s="4">
        <f>F60+F63</f>
        <v>1596</v>
      </c>
      <c r="G65" s="4">
        <f>G60+G63</f>
        <v>911</v>
      </c>
      <c r="H65" s="4">
        <f>H60+H63</f>
        <v>3243.3</v>
      </c>
      <c r="I65" s="4">
        <f t="shared" si="0"/>
        <v>2332.3</v>
      </c>
      <c r="J65" s="4">
        <f t="shared" si="1"/>
        <v>356.0153677277717</v>
      </c>
      <c r="K65" s="4">
        <f t="shared" si="2"/>
        <v>203.21428571428575</v>
      </c>
      <c r="L65" s="4">
        <f t="shared" si="3"/>
        <v>-1141.1999999999998</v>
      </c>
      <c r="M65" s="4">
        <f t="shared" si="4"/>
        <v>73.97194663017447</v>
      </c>
      <c r="N65" s="5"/>
    </row>
    <row r="66" spans="1:13" ht="267.75" hidden="1">
      <c r="A66" s="103">
        <v>905</v>
      </c>
      <c r="B66" s="103" t="s">
        <v>72</v>
      </c>
      <c r="C66" s="23" t="s">
        <v>28</v>
      </c>
      <c r="D66" s="34" t="s">
        <v>29</v>
      </c>
      <c r="E66" s="33">
        <f>E67</f>
        <v>0</v>
      </c>
      <c r="F66" s="33">
        <f>F67</f>
        <v>0</v>
      </c>
      <c r="G66" s="33">
        <f>G67</f>
        <v>0</v>
      </c>
      <c r="H66" s="33">
        <f>H67</f>
        <v>86.9</v>
      </c>
      <c r="I66" s="33">
        <f t="shared" si="0"/>
        <v>86.9</v>
      </c>
      <c r="J66" s="33"/>
      <c r="K66" s="33"/>
      <c r="L66" s="33">
        <f t="shared" si="3"/>
        <v>86.9</v>
      </c>
      <c r="M66" s="33"/>
    </row>
    <row r="67" spans="1:13" ht="47.25" hidden="1">
      <c r="A67" s="106"/>
      <c r="B67" s="106"/>
      <c r="C67" s="22" t="s">
        <v>32</v>
      </c>
      <c r="D67" s="36" t="s">
        <v>33</v>
      </c>
      <c r="E67" s="33"/>
      <c r="F67" s="33"/>
      <c r="G67" s="33"/>
      <c r="H67" s="33">
        <v>86.9</v>
      </c>
      <c r="I67" s="33">
        <f t="shared" si="0"/>
        <v>86.9</v>
      </c>
      <c r="J67" s="33"/>
      <c r="K67" s="33"/>
      <c r="L67" s="33">
        <f t="shared" si="3"/>
        <v>86.9</v>
      </c>
      <c r="M67" s="33" t="e">
        <f t="shared" si="4"/>
        <v>#DIV/0!</v>
      </c>
    </row>
    <row r="68" spans="1:14" ht="267.75" hidden="1">
      <c r="A68" s="106"/>
      <c r="B68" s="106"/>
      <c r="C68" s="23" t="s">
        <v>34</v>
      </c>
      <c r="D68" s="34" t="s">
        <v>35</v>
      </c>
      <c r="E68" s="52">
        <v>5.6</v>
      </c>
      <c r="F68" s="52"/>
      <c r="G68" s="52"/>
      <c r="H68" s="52"/>
      <c r="I68" s="52">
        <f t="shared" si="0"/>
        <v>0</v>
      </c>
      <c r="J68" s="52"/>
      <c r="K68" s="52"/>
      <c r="L68" s="52">
        <f t="shared" si="3"/>
        <v>-5.6</v>
      </c>
      <c r="M68" s="52">
        <f t="shared" si="4"/>
        <v>0</v>
      </c>
      <c r="N68" s="5"/>
    </row>
    <row r="69" spans="1:14" ht="267.75" hidden="1">
      <c r="A69" s="106"/>
      <c r="B69" s="106"/>
      <c r="C69" s="23" t="s">
        <v>41</v>
      </c>
      <c r="D69" s="34" t="s">
        <v>42</v>
      </c>
      <c r="E69" s="52"/>
      <c r="F69" s="52"/>
      <c r="G69" s="52"/>
      <c r="H69" s="52"/>
      <c r="I69" s="52">
        <f t="shared" si="0"/>
        <v>0</v>
      </c>
      <c r="J69" s="52"/>
      <c r="K69" s="52"/>
      <c r="L69" s="52">
        <f t="shared" si="3"/>
        <v>0</v>
      </c>
      <c r="M69" s="52" t="e">
        <f t="shared" si="4"/>
        <v>#DIV/0!</v>
      </c>
      <c r="N69" s="5"/>
    </row>
    <row r="70" spans="1:14" ht="15.75" hidden="1">
      <c r="A70" s="107"/>
      <c r="B70" s="107"/>
      <c r="C70" s="24"/>
      <c r="D70" s="3" t="s">
        <v>67</v>
      </c>
      <c r="E70" s="8">
        <f>E68+E69+E66</f>
        <v>5.6</v>
      </c>
      <c r="F70" s="8">
        <f>F68+F69+F66</f>
        <v>0</v>
      </c>
      <c r="G70" s="8">
        <f>G68+G69+G66</f>
        <v>0</v>
      </c>
      <c r="H70" s="8">
        <f>H68+H69+H66</f>
        <v>86.9</v>
      </c>
      <c r="I70" s="8">
        <f t="shared" si="0"/>
        <v>86.9</v>
      </c>
      <c r="J70" s="8"/>
      <c r="K70" s="8"/>
      <c r="L70" s="8">
        <f t="shared" si="3"/>
        <v>81.30000000000001</v>
      </c>
      <c r="M70" s="8">
        <f t="shared" si="4"/>
        <v>1551.7857142857144</v>
      </c>
      <c r="N70" s="5"/>
    </row>
    <row r="71" spans="1:13" ht="267.75" hidden="1">
      <c r="A71" s="100" t="s">
        <v>73</v>
      </c>
      <c r="B71" s="103" t="s">
        <v>74</v>
      </c>
      <c r="C71" s="23" t="s">
        <v>20</v>
      </c>
      <c r="D71" s="47" t="s">
        <v>21</v>
      </c>
      <c r="E71" s="33">
        <v>0.4</v>
      </c>
      <c r="F71" s="33"/>
      <c r="G71" s="33"/>
      <c r="H71" s="33">
        <v>3</v>
      </c>
      <c r="I71" s="33">
        <f t="shared" si="0"/>
        <v>3</v>
      </c>
      <c r="J71" s="33"/>
      <c r="K71" s="33"/>
      <c r="L71" s="33">
        <f t="shared" si="3"/>
        <v>2.6</v>
      </c>
      <c r="M71" s="33">
        <f t="shared" si="4"/>
        <v>750</v>
      </c>
    </row>
    <row r="72" spans="1:13" ht="267.75" hidden="1">
      <c r="A72" s="104"/>
      <c r="B72" s="106"/>
      <c r="C72" s="23" t="s">
        <v>28</v>
      </c>
      <c r="D72" s="34" t="s">
        <v>29</v>
      </c>
      <c r="E72" s="33">
        <f>E73</f>
        <v>0</v>
      </c>
      <c r="F72" s="33">
        <f>F73</f>
        <v>0</v>
      </c>
      <c r="G72" s="33">
        <f>G73</f>
        <v>0</v>
      </c>
      <c r="H72" s="33">
        <f>H73</f>
        <v>0</v>
      </c>
      <c r="I72" s="33">
        <f t="shared" si="0"/>
        <v>0</v>
      </c>
      <c r="J72" s="33"/>
      <c r="K72" s="33"/>
      <c r="L72" s="33">
        <f t="shared" si="3"/>
        <v>0</v>
      </c>
      <c r="M72" s="33" t="e">
        <f t="shared" si="4"/>
        <v>#DIV/0!</v>
      </c>
    </row>
    <row r="73" spans="1:13" ht="47.25" hidden="1">
      <c r="A73" s="104"/>
      <c r="B73" s="106"/>
      <c r="C73" s="22" t="s">
        <v>32</v>
      </c>
      <c r="D73" s="36" t="s">
        <v>33</v>
      </c>
      <c r="E73" s="33"/>
      <c r="F73" s="33"/>
      <c r="G73" s="33"/>
      <c r="H73" s="33"/>
      <c r="I73" s="33">
        <f aca="true" t="shared" si="5" ref="I73:I136">H73-G73</f>
        <v>0</v>
      </c>
      <c r="J73" s="33"/>
      <c r="K73" s="33"/>
      <c r="L73" s="33">
        <f aca="true" t="shared" si="6" ref="L73:L136">H73-E73</f>
        <v>0</v>
      </c>
      <c r="M73" s="33" t="e">
        <f aca="true" t="shared" si="7" ref="M73:M136">H73/E73*100</f>
        <v>#DIV/0!</v>
      </c>
    </row>
    <row r="74" spans="1:13" ht="267.75" hidden="1">
      <c r="A74" s="104"/>
      <c r="B74" s="106"/>
      <c r="C74" s="23" t="s">
        <v>34</v>
      </c>
      <c r="D74" s="34" t="s">
        <v>35</v>
      </c>
      <c r="E74" s="33"/>
      <c r="F74" s="33"/>
      <c r="G74" s="33"/>
      <c r="H74" s="33"/>
      <c r="I74" s="33">
        <f t="shared" si="5"/>
        <v>0</v>
      </c>
      <c r="J74" s="33"/>
      <c r="K74" s="33"/>
      <c r="L74" s="33">
        <f t="shared" si="6"/>
        <v>0</v>
      </c>
      <c r="M74" s="33" t="e">
        <f t="shared" si="7"/>
        <v>#DIV/0!</v>
      </c>
    </row>
    <row r="75" spans="1:13" ht="267.75" hidden="1">
      <c r="A75" s="104"/>
      <c r="B75" s="106"/>
      <c r="C75" s="23" t="s">
        <v>41</v>
      </c>
      <c r="D75" s="34" t="s">
        <v>42</v>
      </c>
      <c r="E75" s="33">
        <v>22.3</v>
      </c>
      <c r="F75" s="33"/>
      <c r="G75" s="33"/>
      <c r="H75" s="33"/>
      <c r="I75" s="33">
        <f t="shared" si="5"/>
        <v>0</v>
      </c>
      <c r="J75" s="33"/>
      <c r="K75" s="33"/>
      <c r="L75" s="33">
        <f t="shared" si="6"/>
        <v>-22.3</v>
      </c>
      <c r="M75" s="33">
        <f t="shared" si="7"/>
        <v>0</v>
      </c>
    </row>
    <row r="76" spans="1:14" ht="15.75" hidden="1">
      <c r="A76" s="104"/>
      <c r="B76" s="106"/>
      <c r="C76" s="19"/>
      <c r="D76" s="3" t="s">
        <v>44</v>
      </c>
      <c r="E76" s="4">
        <f>SUM(E71:E72,E74:E75)</f>
        <v>22.7</v>
      </c>
      <c r="F76" s="4">
        <f>SUM(F71:F72,F74:F75)</f>
        <v>0</v>
      </c>
      <c r="G76" s="4">
        <f>SUM(G71:G72,G74:G75)</f>
        <v>0</v>
      </c>
      <c r="H76" s="4">
        <f>SUM(H71:H72,H74:H75)</f>
        <v>3</v>
      </c>
      <c r="I76" s="4">
        <f t="shared" si="5"/>
        <v>3</v>
      </c>
      <c r="J76" s="4"/>
      <c r="K76" s="4"/>
      <c r="L76" s="4">
        <f t="shared" si="6"/>
        <v>-19.7</v>
      </c>
      <c r="M76" s="4">
        <f t="shared" si="7"/>
        <v>13.215859030837004</v>
      </c>
      <c r="N76" s="5"/>
    </row>
    <row r="77" spans="1:13" ht="267.75" hidden="1">
      <c r="A77" s="104"/>
      <c r="B77" s="106"/>
      <c r="C77" s="23" t="s">
        <v>75</v>
      </c>
      <c r="D77" s="34" t="s">
        <v>76</v>
      </c>
      <c r="E77" s="33">
        <v>7900.8</v>
      </c>
      <c r="F77" s="33">
        <v>11611.7</v>
      </c>
      <c r="G77" s="33">
        <v>8128.1</v>
      </c>
      <c r="H77" s="33">
        <v>9688.8</v>
      </c>
      <c r="I77" s="33">
        <f t="shared" si="5"/>
        <v>1560.699999999999</v>
      </c>
      <c r="J77" s="33">
        <f aca="true" t="shared" si="8" ref="J77:J136">H77/G77*100</f>
        <v>119.20128935421562</v>
      </c>
      <c r="K77" s="33">
        <f aca="true" t="shared" si="9" ref="K77:K140">H77/F77*100</f>
        <v>83.43997864223152</v>
      </c>
      <c r="L77" s="33">
        <f t="shared" si="6"/>
        <v>1787.999999999999</v>
      </c>
      <c r="M77" s="33">
        <f t="shared" si="7"/>
        <v>122.63061968408262</v>
      </c>
    </row>
    <row r="78" spans="1:13" ht="267.75" hidden="1">
      <c r="A78" s="104"/>
      <c r="B78" s="106"/>
      <c r="C78" s="23" t="s">
        <v>28</v>
      </c>
      <c r="D78" s="34" t="s">
        <v>29</v>
      </c>
      <c r="E78" s="33">
        <f>SUM(E79:E85)</f>
        <v>6823.6</v>
      </c>
      <c r="F78" s="33">
        <f>SUM(F79:F85)</f>
        <v>9233.6</v>
      </c>
      <c r="G78" s="33">
        <f>SUM(G79:G85)</f>
        <v>4339.9</v>
      </c>
      <c r="H78" s="33">
        <f>SUM(H79:H85)</f>
        <v>6695.1</v>
      </c>
      <c r="I78" s="33">
        <f t="shared" si="5"/>
        <v>2355.2000000000007</v>
      </c>
      <c r="J78" s="33">
        <f t="shared" si="8"/>
        <v>154.26853153298467</v>
      </c>
      <c r="K78" s="33">
        <f t="shared" si="9"/>
        <v>72.50801420897591</v>
      </c>
      <c r="L78" s="33">
        <f t="shared" si="6"/>
        <v>-128.5</v>
      </c>
      <c r="M78" s="33">
        <f t="shared" si="7"/>
        <v>98.11682982589835</v>
      </c>
    </row>
    <row r="79" spans="1:14" ht="31.5" hidden="1">
      <c r="A79" s="104"/>
      <c r="B79" s="106"/>
      <c r="C79" s="22" t="s">
        <v>77</v>
      </c>
      <c r="D79" s="36" t="s">
        <v>78</v>
      </c>
      <c r="E79" s="33">
        <v>615.1</v>
      </c>
      <c r="F79" s="33">
        <v>1400</v>
      </c>
      <c r="G79" s="33">
        <v>658</v>
      </c>
      <c r="H79" s="33">
        <v>751.4</v>
      </c>
      <c r="I79" s="33">
        <f t="shared" si="5"/>
        <v>93.39999999999998</v>
      </c>
      <c r="J79" s="33">
        <f t="shared" si="8"/>
        <v>114.19452887537993</v>
      </c>
      <c r="K79" s="33">
        <f t="shared" si="9"/>
        <v>53.67142857142857</v>
      </c>
      <c r="L79" s="33">
        <f t="shared" si="6"/>
        <v>136.29999999999995</v>
      </c>
      <c r="M79" s="33">
        <f t="shared" si="7"/>
        <v>122.15899853682328</v>
      </c>
      <c r="N79" s="5"/>
    </row>
    <row r="80" spans="1:14" ht="47.25" hidden="1">
      <c r="A80" s="104"/>
      <c r="B80" s="106"/>
      <c r="C80" s="22" t="s">
        <v>79</v>
      </c>
      <c r="D80" s="36" t="s">
        <v>80</v>
      </c>
      <c r="E80" s="33">
        <v>2029.2</v>
      </c>
      <c r="F80" s="33">
        <v>1100</v>
      </c>
      <c r="G80" s="33">
        <v>407</v>
      </c>
      <c r="H80" s="33">
        <v>505.6</v>
      </c>
      <c r="I80" s="33">
        <f t="shared" si="5"/>
        <v>98.60000000000002</v>
      </c>
      <c r="J80" s="33">
        <f t="shared" si="8"/>
        <v>124.22604422604424</v>
      </c>
      <c r="K80" s="33">
        <f t="shared" si="9"/>
        <v>45.96363636363637</v>
      </c>
      <c r="L80" s="33">
        <f t="shared" si="6"/>
        <v>-1523.6</v>
      </c>
      <c r="M80" s="33">
        <f t="shared" si="7"/>
        <v>24.916223142124977</v>
      </c>
      <c r="N80" s="5"/>
    </row>
    <row r="81" spans="1:14" ht="31.5" hidden="1">
      <c r="A81" s="104"/>
      <c r="B81" s="106"/>
      <c r="C81" s="22" t="s">
        <v>81</v>
      </c>
      <c r="D81" s="36" t="s">
        <v>82</v>
      </c>
      <c r="E81" s="33"/>
      <c r="F81" s="33"/>
      <c r="G81" s="33"/>
      <c r="H81" s="33"/>
      <c r="I81" s="33">
        <f t="shared" si="5"/>
        <v>0</v>
      </c>
      <c r="J81" s="33" t="e">
        <f t="shared" si="8"/>
        <v>#DIV/0!</v>
      </c>
      <c r="K81" s="33" t="e">
        <f t="shared" si="9"/>
        <v>#DIV/0!</v>
      </c>
      <c r="L81" s="33">
        <f t="shared" si="6"/>
        <v>0</v>
      </c>
      <c r="M81" s="33" t="e">
        <f t="shared" si="7"/>
        <v>#DIV/0!</v>
      </c>
      <c r="N81" s="5"/>
    </row>
    <row r="82" spans="1:14" ht="31.5" hidden="1">
      <c r="A82" s="104"/>
      <c r="B82" s="106"/>
      <c r="C82" s="22" t="s">
        <v>83</v>
      </c>
      <c r="D82" s="36" t="s">
        <v>84</v>
      </c>
      <c r="E82" s="33">
        <v>2365.2</v>
      </c>
      <c r="F82" s="33">
        <v>3553.3</v>
      </c>
      <c r="G82" s="33">
        <v>1812.1</v>
      </c>
      <c r="H82" s="33">
        <v>1768.5</v>
      </c>
      <c r="I82" s="33">
        <f t="shared" si="5"/>
        <v>-43.59999999999991</v>
      </c>
      <c r="J82" s="33">
        <f t="shared" si="8"/>
        <v>97.5939517686662</v>
      </c>
      <c r="K82" s="33">
        <f t="shared" si="9"/>
        <v>49.77063574705203</v>
      </c>
      <c r="L82" s="33">
        <f t="shared" si="6"/>
        <v>-596.6999999999998</v>
      </c>
      <c r="M82" s="33">
        <f t="shared" si="7"/>
        <v>74.77168949771689</v>
      </c>
      <c r="N82" s="5"/>
    </row>
    <row r="83" spans="1:14" ht="31.5" hidden="1">
      <c r="A83" s="104"/>
      <c r="B83" s="106"/>
      <c r="C83" s="22" t="s">
        <v>85</v>
      </c>
      <c r="D83" s="36" t="s">
        <v>86</v>
      </c>
      <c r="E83" s="33"/>
      <c r="F83" s="33"/>
      <c r="G83" s="33"/>
      <c r="H83" s="33"/>
      <c r="I83" s="33">
        <f t="shared" si="5"/>
        <v>0</v>
      </c>
      <c r="J83" s="33" t="e">
        <f t="shared" si="8"/>
        <v>#DIV/0!</v>
      </c>
      <c r="K83" s="33" t="e">
        <f t="shared" si="9"/>
        <v>#DIV/0!</v>
      </c>
      <c r="L83" s="33">
        <f t="shared" si="6"/>
        <v>0</v>
      </c>
      <c r="M83" s="33" t="e">
        <f t="shared" si="7"/>
        <v>#DIV/0!</v>
      </c>
      <c r="N83" s="5"/>
    </row>
    <row r="84" spans="1:14" ht="31.5" hidden="1">
      <c r="A84" s="104"/>
      <c r="B84" s="106"/>
      <c r="C84" s="22" t="s">
        <v>87</v>
      </c>
      <c r="D84" s="36" t="s">
        <v>88</v>
      </c>
      <c r="E84" s="33"/>
      <c r="F84" s="33"/>
      <c r="G84" s="33"/>
      <c r="H84" s="33"/>
      <c r="I84" s="33">
        <f t="shared" si="5"/>
        <v>0</v>
      </c>
      <c r="J84" s="33" t="e">
        <f t="shared" si="8"/>
        <v>#DIV/0!</v>
      </c>
      <c r="K84" s="33" t="e">
        <f t="shared" si="9"/>
        <v>#DIV/0!</v>
      </c>
      <c r="L84" s="33">
        <f t="shared" si="6"/>
        <v>0</v>
      </c>
      <c r="M84" s="33" t="e">
        <f t="shared" si="7"/>
        <v>#DIV/0!</v>
      </c>
      <c r="N84" s="5"/>
    </row>
    <row r="85" spans="1:13" ht="47.25" hidden="1">
      <c r="A85" s="104"/>
      <c r="B85" s="106"/>
      <c r="C85" s="22" t="s">
        <v>32</v>
      </c>
      <c r="D85" s="36" t="s">
        <v>33</v>
      </c>
      <c r="E85" s="33">
        <v>1814.1</v>
      </c>
      <c r="F85" s="33">
        <v>3180.3</v>
      </c>
      <c r="G85" s="33">
        <v>1462.8</v>
      </c>
      <c r="H85" s="33">
        <v>3669.6</v>
      </c>
      <c r="I85" s="33">
        <f t="shared" si="5"/>
        <v>2206.8</v>
      </c>
      <c r="J85" s="33">
        <f t="shared" si="8"/>
        <v>250.86136177194422</v>
      </c>
      <c r="K85" s="33">
        <f t="shared" si="9"/>
        <v>115.3853410055655</v>
      </c>
      <c r="L85" s="33">
        <f t="shared" si="6"/>
        <v>1855.5</v>
      </c>
      <c r="M85" s="33">
        <f t="shared" si="7"/>
        <v>202.2821233669588</v>
      </c>
    </row>
    <row r="86" spans="1:14" ht="15.75" hidden="1">
      <c r="A86" s="104"/>
      <c r="B86" s="106"/>
      <c r="C86" s="25"/>
      <c r="D86" s="3" t="s">
        <v>47</v>
      </c>
      <c r="E86" s="4">
        <f>SUM(E77:E78)</f>
        <v>14724.400000000001</v>
      </c>
      <c r="F86" s="4">
        <f>SUM(F77:F78)</f>
        <v>20845.300000000003</v>
      </c>
      <c r="G86" s="4">
        <f>SUM(G77:G78)</f>
        <v>12468</v>
      </c>
      <c r="H86" s="4">
        <f>SUM(H77:H78)</f>
        <v>16383.9</v>
      </c>
      <c r="I86" s="4">
        <f t="shared" si="5"/>
        <v>3915.8999999999996</v>
      </c>
      <c r="J86" s="4">
        <f t="shared" si="8"/>
        <v>131.40760346487005</v>
      </c>
      <c r="K86" s="4">
        <f t="shared" si="9"/>
        <v>78.5975735537507</v>
      </c>
      <c r="L86" s="4">
        <f t="shared" si="6"/>
        <v>1659.4999999999982</v>
      </c>
      <c r="M86" s="4">
        <f t="shared" si="7"/>
        <v>111.27040830186627</v>
      </c>
      <c r="N86" s="5"/>
    </row>
    <row r="87" spans="1:14" ht="15.75" hidden="1">
      <c r="A87" s="105"/>
      <c r="B87" s="107"/>
      <c r="C87" s="25"/>
      <c r="D87" s="3" t="s">
        <v>67</v>
      </c>
      <c r="E87" s="4">
        <f>E76+E86</f>
        <v>14747.100000000002</v>
      </c>
      <c r="F87" s="4">
        <f>F76+F86</f>
        <v>20845.300000000003</v>
      </c>
      <c r="G87" s="4">
        <f>G76+G86</f>
        <v>12468</v>
      </c>
      <c r="H87" s="4">
        <f>H76+H86</f>
        <v>16386.9</v>
      </c>
      <c r="I87" s="4">
        <f t="shared" si="5"/>
        <v>3918.9000000000015</v>
      </c>
      <c r="J87" s="4">
        <f t="shared" si="8"/>
        <v>131.43166506256017</v>
      </c>
      <c r="K87" s="4">
        <f t="shared" si="9"/>
        <v>78.61196528713906</v>
      </c>
      <c r="L87" s="4">
        <f t="shared" si="6"/>
        <v>1639.7999999999993</v>
      </c>
      <c r="M87" s="4">
        <f t="shared" si="7"/>
        <v>111.11947433732735</v>
      </c>
      <c r="N87" s="5"/>
    </row>
    <row r="88" spans="1:13" ht="267.75" hidden="1">
      <c r="A88" s="100" t="s">
        <v>89</v>
      </c>
      <c r="B88" s="103" t="s">
        <v>90</v>
      </c>
      <c r="C88" s="23" t="s">
        <v>14</v>
      </c>
      <c r="D88" s="46" t="s">
        <v>15</v>
      </c>
      <c r="E88" s="52"/>
      <c r="F88" s="52"/>
      <c r="G88" s="52"/>
      <c r="H88" s="52">
        <v>10013</v>
      </c>
      <c r="I88" s="52">
        <f t="shared" si="5"/>
        <v>10013</v>
      </c>
      <c r="J88" s="52"/>
      <c r="K88" s="52"/>
      <c r="L88" s="52">
        <f t="shared" si="6"/>
        <v>10013</v>
      </c>
      <c r="M88" s="52"/>
    </row>
    <row r="89" spans="1:13" ht="267.75" hidden="1">
      <c r="A89" s="104"/>
      <c r="B89" s="106"/>
      <c r="C89" s="23" t="s">
        <v>20</v>
      </c>
      <c r="D89" s="47" t="s">
        <v>21</v>
      </c>
      <c r="E89" s="52">
        <v>422.5</v>
      </c>
      <c r="F89" s="52"/>
      <c r="G89" s="52"/>
      <c r="H89" s="52">
        <v>629.9</v>
      </c>
      <c r="I89" s="52">
        <f t="shared" si="5"/>
        <v>629.9</v>
      </c>
      <c r="J89" s="52"/>
      <c r="K89" s="52"/>
      <c r="L89" s="52">
        <f t="shared" si="6"/>
        <v>207.39999999999998</v>
      </c>
      <c r="M89" s="52">
        <f t="shared" si="7"/>
        <v>149.0887573964497</v>
      </c>
    </row>
    <row r="90" spans="1:13" ht="94.5" hidden="1">
      <c r="A90" s="104"/>
      <c r="B90" s="106"/>
      <c r="C90" s="22" t="s">
        <v>22</v>
      </c>
      <c r="D90" s="48" t="s">
        <v>23</v>
      </c>
      <c r="E90" s="52">
        <v>35.9</v>
      </c>
      <c r="F90" s="52"/>
      <c r="G90" s="52"/>
      <c r="H90" s="52">
        <v>33.8</v>
      </c>
      <c r="I90" s="52">
        <f t="shared" si="5"/>
        <v>33.8</v>
      </c>
      <c r="J90" s="52"/>
      <c r="K90" s="52"/>
      <c r="L90" s="52">
        <f t="shared" si="6"/>
        <v>-2.1000000000000014</v>
      </c>
      <c r="M90" s="52">
        <f t="shared" si="7"/>
        <v>94.15041782729804</v>
      </c>
    </row>
    <row r="91" spans="1:13" ht="267.75" hidden="1">
      <c r="A91" s="104"/>
      <c r="B91" s="106"/>
      <c r="C91" s="23" t="s">
        <v>28</v>
      </c>
      <c r="D91" s="34" t="s">
        <v>29</v>
      </c>
      <c r="E91" s="33">
        <f>E92</f>
        <v>820.8</v>
      </c>
      <c r="F91" s="33">
        <f>F92</f>
        <v>0</v>
      </c>
      <c r="G91" s="33">
        <f>G92</f>
        <v>0</v>
      </c>
      <c r="H91" s="33">
        <f>H92</f>
        <v>117.5</v>
      </c>
      <c r="I91" s="33">
        <f t="shared" si="5"/>
        <v>117.5</v>
      </c>
      <c r="J91" s="33"/>
      <c r="K91" s="33"/>
      <c r="L91" s="33">
        <f t="shared" si="6"/>
        <v>-703.3</v>
      </c>
      <c r="M91" s="33">
        <f t="shared" si="7"/>
        <v>14.315302144249515</v>
      </c>
    </row>
    <row r="92" spans="1:13" ht="47.25" hidden="1">
      <c r="A92" s="104"/>
      <c r="B92" s="106"/>
      <c r="C92" s="22" t="s">
        <v>32</v>
      </c>
      <c r="D92" s="36" t="s">
        <v>33</v>
      </c>
      <c r="E92" s="33">
        <v>820.8</v>
      </c>
      <c r="F92" s="33"/>
      <c r="G92" s="33"/>
      <c r="H92" s="33">
        <v>117.5</v>
      </c>
      <c r="I92" s="33">
        <f t="shared" si="5"/>
        <v>117.5</v>
      </c>
      <c r="J92" s="33" t="e">
        <f t="shared" si="8"/>
        <v>#DIV/0!</v>
      </c>
      <c r="K92" s="33" t="e">
        <f t="shared" si="9"/>
        <v>#DIV/0!</v>
      </c>
      <c r="L92" s="33">
        <f t="shared" si="6"/>
        <v>-703.3</v>
      </c>
      <c r="M92" s="33">
        <f t="shared" si="7"/>
        <v>14.315302144249515</v>
      </c>
    </row>
    <row r="93" spans="1:13" ht="267.75" hidden="1">
      <c r="A93" s="104"/>
      <c r="B93" s="106"/>
      <c r="C93" s="23" t="s">
        <v>34</v>
      </c>
      <c r="D93" s="34" t="s">
        <v>35</v>
      </c>
      <c r="E93" s="52">
        <v>3.6</v>
      </c>
      <c r="F93" s="52"/>
      <c r="G93" s="52"/>
      <c r="H93" s="52"/>
      <c r="I93" s="52">
        <f t="shared" si="5"/>
        <v>0</v>
      </c>
      <c r="J93" s="52"/>
      <c r="K93" s="52"/>
      <c r="L93" s="52">
        <f t="shared" si="6"/>
        <v>-3.6</v>
      </c>
      <c r="M93" s="52">
        <f t="shared" si="7"/>
        <v>0</v>
      </c>
    </row>
    <row r="94" spans="1:13" ht="267.75" hidden="1">
      <c r="A94" s="104"/>
      <c r="B94" s="106"/>
      <c r="C94" s="23" t="s">
        <v>36</v>
      </c>
      <c r="D94" s="34" t="s">
        <v>37</v>
      </c>
      <c r="E94" s="52">
        <v>1008.5</v>
      </c>
      <c r="F94" s="52"/>
      <c r="G94" s="52"/>
      <c r="H94" s="52"/>
      <c r="I94" s="52">
        <f t="shared" si="5"/>
        <v>0</v>
      </c>
      <c r="J94" s="52"/>
      <c r="K94" s="52"/>
      <c r="L94" s="52">
        <f t="shared" si="6"/>
        <v>-1008.5</v>
      </c>
      <c r="M94" s="52">
        <f t="shared" si="7"/>
        <v>0</v>
      </c>
    </row>
    <row r="95" spans="1:13" ht="267.75" hidden="1">
      <c r="A95" s="104"/>
      <c r="B95" s="106"/>
      <c r="C95" s="23" t="s">
        <v>39</v>
      </c>
      <c r="D95" s="34" t="s">
        <v>40</v>
      </c>
      <c r="E95" s="52">
        <v>63111.8</v>
      </c>
      <c r="F95" s="52">
        <f>543251.2+70384.3</f>
        <v>613635.5</v>
      </c>
      <c r="G95" s="52">
        <f>43159.3+61221.6</f>
        <v>104380.9</v>
      </c>
      <c r="H95" s="52">
        <f>17000+51784.2</f>
        <v>68784.2</v>
      </c>
      <c r="I95" s="52">
        <f t="shared" si="5"/>
        <v>-35596.7</v>
      </c>
      <c r="J95" s="52">
        <f t="shared" si="8"/>
        <v>65.89730496671325</v>
      </c>
      <c r="K95" s="52">
        <f t="shared" si="9"/>
        <v>11.209292813078774</v>
      </c>
      <c r="L95" s="52">
        <f t="shared" si="6"/>
        <v>5672.399999999994</v>
      </c>
      <c r="M95" s="52">
        <f t="shared" si="7"/>
        <v>108.98785963956026</v>
      </c>
    </row>
    <row r="96" spans="1:13" ht="267.75" hidden="1">
      <c r="A96" s="104"/>
      <c r="B96" s="106"/>
      <c r="C96" s="23" t="s">
        <v>41</v>
      </c>
      <c r="D96" s="34" t="s">
        <v>91</v>
      </c>
      <c r="E96" s="52">
        <v>60063.3</v>
      </c>
      <c r="F96" s="52">
        <v>99157</v>
      </c>
      <c r="G96" s="52">
        <f>12178.9+46147.2</f>
        <v>58326.1</v>
      </c>
      <c r="H96" s="52">
        <f>12119.5+46627.1</f>
        <v>58746.6</v>
      </c>
      <c r="I96" s="52">
        <f t="shared" si="5"/>
        <v>420.5</v>
      </c>
      <c r="J96" s="52">
        <f t="shared" si="8"/>
        <v>100.72094654022814</v>
      </c>
      <c r="K96" s="52">
        <f t="shared" si="9"/>
        <v>59.24604415220307</v>
      </c>
      <c r="L96" s="52">
        <f t="shared" si="6"/>
        <v>-1316.7000000000044</v>
      </c>
      <c r="M96" s="52">
        <f t="shared" si="7"/>
        <v>97.80781275754079</v>
      </c>
    </row>
    <row r="97" spans="1:13" ht="267.75" hidden="1">
      <c r="A97" s="104"/>
      <c r="B97" s="106"/>
      <c r="C97" s="23" t="s">
        <v>59</v>
      </c>
      <c r="D97" s="36" t="s">
        <v>60</v>
      </c>
      <c r="E97" s="52"/>
      <c r="F97" s="52">
        <v>119289.2</v>
      </c>
      <c r="G97" s="52">
        <v>119289.2</v>
      </c>
      <c r="H97" s="52">
        <v>119289.2</v>
      </c>
      <c r="I97" s="52">
        <f t="shared" si="5"/>
        <v>0</v>
      </c>
      <c r="J97" s="52">
        <f t="shared" si="8"/>
        <v>100</v>
      </c>
      <c r="K97" s="52">
        <f t="shared" si="9"/>
        <v>100</v>
      </c>
      <c r="L97" s="52">
        <f t="shared" si="6"/>
        <v>119289.2</v>
      </c>
      <c r="M97" s="52"/>
    </row>
    <row r="98" spans="1:13" ht="267.75" hidden="1">
      <c r="A98" s="104"/>
      <c r="B98" s="106"/>
      <c r="C98" s="23" t="s">
        <v>43</v>
      </c>
      <c r="D98" s="34" t="s">
        <v>38</v>
      </c>
      <c r="E98" s="52">
        <v>-50.4</v>
      </c>
      <c r="F98" s="52"/>
      <c r="G98" s="52"/>
      <c r="H98" s="52">
        <v>-337</v>
      </c>
      <c r="I98" s="52">
        <f t="shared" si="5"/>
        <v>-337</v>
      </c>
      <c r="J98" s="52"/>
      <c r="K98" s="52"/>
      <c r="L98" s="52">
        <f t="shared" si="6"/>
        <v>-286.6</v>
      </c>
      <c r="M98" s="52">
        <f t="shared" si="7"/>
        <v>668.6507936507937</v>
      </c>
    </row>
    <row r="99" spans="1:14" ht="15.75" hidden="1">
      <c r="A99" s="104"/>
      <c r="B99" s="106"/>
      <c r="C99" s="24"/>
      <c r="D99" s="3" t="s">
        <v>44</v>
      </c>
      <c r="E99" s="4">
        <f>SUM(E88:E91,E93:E98)</f>
        <v>125416.00000000001</v>
      </c>
      <c r="F99" s="4">
        <f>SUM(F88:F91,F93:F98)</f>
        <v>832081.7</v>
      </c>
      <c r="G99" s="4">
        <f>SUM(G88:G91,G93:G98)</f>
        <v>281996.2</v>
      </c>
      <c r="H99" s="4">
        <f>SUM(H88:H91,H93:H98)</f>
        <v>257277.2</v>
      </c>
      <c r="I99" s="4">
        <f t="shared" si="5"/>
        <v>-24719</v>
      </c>
      <c r="J99" s="4">
        <f t="shared" si="8"/>
        <v>91.23427904347648</v>
      </c>
      <c r="K99" s="4">
        <f t="shared" si="9"/>
        <v>30.91970415885844</v>
      </c>
      <c r="L99" s="4">
        <f t="shared" si="6"/>
        <v>131861.2</v>
      </c>
      <c r="M99" s="4">
        <f t="shared" si="7"/>
        <v>205.13905721757988</v>
      </c>
      <c r="N99" s="5"/>
    </row>
    <row r="100" spans="1:13" ht="267.75" hidden="1">
      <c r="A100" s="108"/>
      <c r="B100" s="108"/>
      <c r="C100" s="23" t="s">
        <v>28</v>
      </c>
      <c r="D100" s="34" t="s">
        <v>29</v>
      </c>
      <c r="E100" s="33">
        <f>E101</f>
        <v>281.6</v>
      </c>
      <c r="F100" s="33">
        <f>F101</f>
        <v>600</v>
      </c>
      <c r="G100" s="33">
        <v>350</v>
      </c>
      <c r="H100" s="33">
        <f>H101</f>
        <v>399</v>
      </c>
      <c r="I100" s="33">
        <f t="shared" si="5"/>
        <v>49</v>
      </c>
      <c r="J100" s="33">
        <f t="shared" si="8"/>
        <v>113.99999999999999</v>
      </c>
      <c r="K100" s="33">
        <f t="shared" si="9"/>
        <v>66.5</v>
      </c>
      <c r="L100" s="33">
        <f t="shared" si="6"/>
        <v>117.39999999999998</v>
      </c>
      <c r="M100" s="33">
        <f t="shared" si="7"/>
        <v>141.6903409090909</v>
      </c>
    </row>
    <row r="101" spans="1:13" ht="47.25" hidden="1">
      <c r="A101" s="108"/>
      <c r="B101" s="108"/>
      <c r="C101" s="22" t="s">
        <v>32</v>
      </c>
      <c r="D101" s="36" t="s">
        <v>33</v>
      </c>
      <c r="E101" s="33">
        <v>281.6</v>
      </c>
      <c r="F101" s="33">
        <v>600</v>
      </c>
      <c r="G101" s="33">
        <v>300</v>
      </c>
      <c r="H101" s="33">
        <v>399</v>
      </c>
      <c r="I101" s="33">
        <f t="shared" si="5"/>
        <v>99</v>
      </c>
      <c r="J101" s="33">
        <f t="shared" si="8"/>
        <v>133</v>
      </c>
      <c r="K101" s="33">
        <f t="shared" si="9"/>
        <v>66.5</v>
      </c>
      <c r="L101" s="33">
        <f t="shared" si="6"/>
        <v>117.39999999999998</v>
      </c>
      <c r="M101" s="33">
        <f t="shared" si="7"/>
        <v>141.6903409090909</v>
      </c>
    </row>
    <row r="102" spans="1:14" ht="15.75" hidden="1">
      <c r="A102" s="108"/>
      <c r="B102" s="108"/>
      <c r="C102" s="24"/>
      <c r="D102" s="3" t="s">
        <v>47</v>
      </c>
      <c r="E102" s="4">
        <f>SUM(E100)</f>
        <v>281.6</v>
      </c>
      <c r="F102" s="4">
        <f>SUM(F100)</f>
        <v>600</v>
      </c>
      <c r="G102" s="4">
        <f>SUM(G100)</f>
        <v>350</v>
      </c>
      <c r="H102" s="4">
        <f>SUM(H100)</f>
        <v>399</v>
      </c>
      <c r="I102" s="4">
        <f t="shared" si="5"/>
        <v>49</v>
      </c>
      <c r="J102" s="4">
        <f t="shared" si="8"/>
        <v>113.99999999999999</v>
      </c>
      <c r="K102" s="4">
        <f t="shared" si="9"/>
        <v>66.5</v>
      </c>
      <c r="L102" s="4">
        <f t="shared" si="6"/>
        <v>117.39999999999998</v>
      </c>
      <c r="M102" s="4">
        <f t="shared" si="7"/>
        <v>141.6903409090909</v>
      </c>
      <c r="N102" s="5"/>
    </row>
    <row r="103" spans="1:14" ht="31.5" hidden="1">
      <c r="A103" s="108"/>
      <c r="B103" s="108"/>
      <c r="C103" s="24"/>
      <c r="D103" s="3" t="s">
        <v>48</v>
      </c>
      <c r="E103" s="4">
        <f>E104-E98</f>
        <v>125748.00000000001</v>
      </c>
      <c r="F103" s="4">
        <f>F104-F98</f>
        <v>832681.7</v>
      </c>
      <c r="G103" s="4">
        <f>G104-G98</f>
        <v>282346.2</v>
      </c>
      <c r="H103" s="4">
        <f>H104-H98</f>
        <v>258013.2</v>
      </c>
      <c r="I103" s="4">
        <f t="shared" si="5"/>
        <v>-24333</v>
      </c>
      <c r="J103" s="4">
        <f t="shared" si="8"/>
        <v>91.38185674182971</v>
      </c>
      <c r="K103" s="4">
        <f t="shared" si="9"/>
        <v>30.985813666854938</v>
      </c>
      <c r="L103" s="4">
        <f t="shared" si="6"/>
        <v>132265.2</v>
      </c>
      <c r="M103" s="4">
        <f t="shared" si="7"/>
        <v>205.18274644527148</v>
      </c>
      <c r="N103" s="5"/>
    </row>
    <row r="104" spans="1:14" ht="15.75" hidden="1">
      <c r="A104" s="109"/>
      <c r="B104" s="109"/>
      <c r="C104" s="24"/>
      <c r="D104" s="3" t="s">
        <v>67</v>
      </c>
      <c r="E104" s="4">
        <f>E99+E102</f>
        <v>125697.60000000002</v>
      </c>
      <c r="F104" s="4">
        <f>F99+F102</f>
        <v>832681.7</v>
      </c>
      <c r="G104" s="4">
        <f>G99+G102</f>
        <v>282346.2</v>
      </c>
      <c r="H104" s="4">
        <f>H99+H102</f>
        <v>257676.2</v>
      </c>
      <c r="I104" s="4">
        <f t="shared" si="5"/>
        <v>-24670</v>
      </c>
      <c r="J104" s="4">
        <f t="shared" si="8"/>
        <v>91.26249972551427</v>
      </c>
      <c r="K104" s="4">
        <f t="shared" si="9"/>
        <v>30.945342019645683</v>
      </c>
      <c r="L104" s="4">
        <f t="shared" si="6"/>
        <v>131978.59999999998</v>
      </c>
      <c r="M104" s="4">
        <f t="shared" si="7"/>
        <v>204.9969132266646</v>
      </c>
      <c r="N104" s="5"/>
    </row>
    <row r="105" spans="1:14" ht="267.75" hidden="1">
      <c r="A105" s="100" t="s">
        <v>92</v>
      </c>
      <c r="B105" s="103" t="s">
        <v>93</v>
      </c>
      <c r="C105" s="23" t="s">
        <v>14</v>
      </c>
      <c r="D105" s="46" t="s">
        <v>15</v>
      </c>
      <c r="E105" s="33"/>
      <c r="F105" s="4"/>
      <c r="G105" s="4"/>
      <c r="H105" s="33">
        <v>115</v>
      </c>
      <c r="I105" s="33">
        <f t="shared" si="5"/>
        <v>115</v>
      </c>
      <c r="J105" s="33"/>
      <c r="K105" s="33"/>
      <c r="L105" s="33">
        <f t="shared" si="6"/>
        <v>115</v>
      </c>
      <c r="M105" s="33"/>
      <c r="N105" s="5"/>
    </row>
    <row r="106" spans="1:14" ht="267.75" hidden="1">
      <c r="A106" s="104"/>
      <c r="B106" s="106"/>
      <c r="C106" s="23" t="s">
        <v>20</v>
      </c>
      <c r="D106" s="47" t="s">
        <v>21</v>
      </c>
      <c r="E106" s="33">
        <v>299.8</v>
      </c>
      <c r="F106" s="4"/>
      <c r="G106" s="4"/>
      <c r="H106" s="33">
        <v>118.3</v>
      </c>
      <c r="I106" s="33">
        <f t="shared" si="5"/>
        <v>118.3</v>
      </c>
      <c r="J106" s="33"/>
      <c r="K106" s="33"/>
      <c r="L106" s="33">
        <f t="shared" si="6"/>
        <v>-181.5</v>
      </c>
      <c r="M106" s="33">
        <f t="shared" si="7"/>
        <v>39.459639759839895</v>
      </c>
      <c r="N106" s="5"/>
    </row>
    <row r="107" spans="1:14" ht="94.5" hidden="1">
      <c r="A107" s="104"/>
      <c r="B107" s="106"/>
      <c r="C107" s="22" t="s">
        <v>22</v>
      </c>
      <c r="D107" s="48" t="s">
        <v>23</v>
      </c>
      <c r="E107" s="33">
        <v>9.3</v>
      </c>
      <c r="F107" s="4"/>
      <c r="G107" s="4"/>
      <c r="H107" s="33">
        <v>15.7</v>
      </c>
      <c r="I107" s="33">
        <f t="shared" si="5"/>
        <v>15.7</v>
      </c>
      <c r="J107" s="33"/>
      <c r="K107" s="33"/>
      <c r="L107" s="33">
        <f t="shared" si="6"/>
        <v>6.399999999999999</v>
      </c>
      <c r="M107" s="33">
        <f t="shared" si="7"/>
        <v>168.81720430107526</v>
      </c>
      <c r="N107" s="5"/>
    </row>
    <row r="108" spans="1:13" ht="267.75" hidden="1">
      <c r="A108" s="108"/>
      <c r="B108" s="108"/>
      <c r="C108" s="23" t="s">
        <v>28</v>
      </c>
      <c r="D108" s="34" t="s">
        <v>29</v>
      </c>
      <c r="E108" s="33">
        <f>SUM(E109:E110)</f>
        <v>0</v>
      </c>
      <c r="F108" s="33">
        <f>SUM(F109:F110)</f>
        <v>0</v>
      </c>
      <c r="G108" s="33">
        <f>SUM(G109:G110)</f>
        <v>0</v>
      </c>
      <c r="H108" s="33">
        <f>SUM(H109:H110)</f>
        <v>0</v>
      </c>
      <c r="I108" s="33">
        <f t="shared" si="5"/>
        <v>0</v>
      </c>
      <c r="J108" s="33" t="e">
        <f t="shared" si="8"/>
        <v>#DIV/0!</v>
      </c>
      <c r="K108" s="33" t="e">
        <f t="shared" si="9"/>
        <v>#DIV/0!</v>
      </c>
      <c r="L108" s="33">
        <f t="shared" si="6"/>
        <v>0</v>
      </c>
      <c r="M108" s="33" t="e">
        <f t="shared" si="7"/>
        <v>#DIV/0!</v>
      </c>
    </row>
    <row r="109" spans="1:13" ht="31.5" hidden="1">
      <c r="A109" s="108"/>
      <c r="B109" s="108"/>
      <c r="C109" s="22" t="s">
        <v>52</v>
      </c>
      <c r="D109" s="36" t="s">
        <v>53</v>
      </c>
      <c r="E109" s="33"/>
      <c r="F109" s="33"/>
      <c r="G109" s="33"/>
      <c r="H109" s="33"/>
      <c r="I109" s="33">
        <f t="shared" si="5"/>
        <v>0</v>
      </c>
      <c r="J109" s="33" t="e">
        <f t="shared" si="8"/>
        <v>#DIV/0!</v>
      </c>
      <c r="K109" s="33" t="e">
        <f t="shared" si="9"/>
        <v>#DIV/0!</v>
      </c>
      <c r="L109" s="33">
        <f t="shared" si="6"/>
        <v>0</v>
      </c>
      <c r="M109" s="33" t="e">
        <f t="shared" si="7"/>
        <v>#DIV/0!</v>
      </c>
    </row>
    <row r="110" spans="1:13" ht="47.25" hidden="1">
      <c r="A110" s="108"/>
      <c r="B110" s="108"/>
      <c r="C110" s="22" t="s">
        <v>32</v>
      </c>
      <c r="D110" s="36" t="s">
        <v>33</v>
      </c>
      <c r="E110" s="33"/>
      <c r="F110" s="33"/>
      <c r="G110" s="33"/>
      <c r="H110" s="33"/>
      <c r="I110" s="33">
        <f t="shared" si="5"/>
        <v>0</v>
      </c>
      <c r="J110" s="33" t="e">
        <f t="shared" si="8"/>
        <v>#DIV/0!</v>
      </c>
      <c r="K110" s="33" t="e">
        <f t="shared" si="9"/>
        <v>#DIV/0!</v>
      </c>
      <c r="L110" s="33">
        <f t="shared" si="6"/>
        <v>0</v>
      </c>
      <c r="M110" s="33" t="e">
        <f t="shared" si="7"/>
        <v>#DIV/0!</v>
      </c>
    </row>
    <row r="111" spans="1:13" ht="267.75" hidden="1">
      <c r="A111" s="108"/>
      <c r="B111" s="108"/>
      <c r="C111" s="23" t="s">
        <v>34</v>
      </c>
      <c r="D111" s="34" t="s">
        <v>35</v>
      </c>
      <c r="E111" s="33">
        <v>339.8</v>
      </c>
      <c r="F111" s="33"/>
      <c r="G111" s="33"/>
      <c r="H111" s="33"/>
      <c r="I111" s="33">
        <f t="shared" si="5"/>
        <v>0</v>
      </c>
      <c r="J111" s="33"/>
      <c r="K111" s="33"/>
      <c r="L111" s="33">
        <f t="shared" si="6"/>
        <v>-339.8</v>
      </c>
      <c r="M111" s="33">
        <f t="shared" si="7"/>
        <v>0</v>
      </c>
    </row>
    <row r="112" spans="1:13" ht="267.75" hidden="1">
      <c r="A112" s="108"/>
      <c r="B112" s="108"/>
      <c r="C112" s="23" t="s">
        <v>36</v>
      </c>
      <c r="D112" s="34" t="s">
        <v>37</v>
      </c>
      <c r="E112" s="33"/>
      <c r="F112" s="33"/>
      <c r="G112" s="33"/>
      <c r="H112" s="33"/>
      <c r="I112" s="33">
        <f t="shared" si="5"/>
        <v>0</v>
      </c>
      <c r="J112" s="33" t="e">
        <f t="shared" si="8"/>
        <v>#DIV/0!</v>
      </c>
      <c r="K112" s="33" t="e">
        <f t="shared" si="9"/>
        <v>#DIV/0!</v>
      </c>
      <c r="L112" s="33">
        <f t="shared" si="6"/>
        <v>0</v>
      </c>
      <c r="M112" s="33" t="e">
        <f t="shared" si="7"/>
        <v>#DIV/0!</v>
      </c>
    </row>
    <row r="113" spans="1:13" ht="267.75" hidden="1">
      <c r="A113" s="108"/>
      <c r="B113" s="108"/>
      <c r="C113" s="23" t="s">
        <v>39</v>
      </c>
      <c r="D113" s="34" t="s">
        <v>40</v>
      </c>
      <c r="E113" s="33">
        <v>448.3</v>
      </c>
      <c r="F113" s="33">
        <v>803.3</v>
      </c>
      <c r="G113" s="33">
        <v>568.4</v>
      </c>
      <c r="H113" s="33">
        <v>503.3</v>
      </c>
      <c r="I113" s="33">
        <f t="shared" si="5"/>
        <v>-65.09999999999997</v>
      </c>
      <c r="J113" s="33">
        <f t="shared" si="8"/>
        <v>88.54679802955665</v>
      </c>
      <c r="K113" s="33">
        <f t="shared" si="9"/>
        <v>62.65405203535417</v>
      </c>
      <c r="L113" s="33">
        <f t="shared" si="6"/>
        <v>55</v>
      </c>
      <c r="M113" s="33">
        <f t="shared" si="7"/>
        <v>112.26857015391478</v>
      </c>
    </row>
    <row r="114" spans="1:13" ht="267.75" hidden="1">
      <c r="A114" s="108"/>
      <c r="B114" s="108"/>
      <c r="C114" s="23" t="s">
        <v>41</v>
      </c>
      <c r="D114" s="34" t="s">
        <v>91</v>
      </c>
      <c r="E114" s="33">
        <v>283.8</v>
      </c>
      <c r="F114" s="33"/>
      <c r="G114" s="33"/>
      <c r="H114" s="33"/>
      <c r="I114" s="33">
        <f t="shared" si="5"/>
        <v>0</v>
      </c>
      <c r="J114" s="33"/>
      <c r="K114" s="33"/>
      <c r="L114" s="33">
        <f t="shared" si="6"/>
        <v>-283.8</v>
      </c>
      <c r="M114" s="33">
        <f t="shared" si="7"/>
        <v>0</v>
      </c>
    </row>
    <row r="115" spans="1:13" ht="267.75" hidden="1">
      <c r="A115" s="108"/>
      <c r="B115" s="108"/>
      <c r="C115" s="23" t="s">
        <v>59</v>
      </c>
      <c r="D115" s="36" t="s">
        <v>60</v>
      </c>
      <c r="E115" s="33"/>
      <c r="F115" s="33">
        <v>2433.9</v>
      </c>
      <c r="G115" s="33">
        <v>811.3</v>
      </c>
      <c r="H115" s="33"/>
      <c r="I115" s="33">
        <f t="shared" si="5"/>
        <v>-811.3</v>
      </c>
      <c r="J115" s="33"/>
      <c r="K115" s="33">
        <f t="shared" si="9"/>
        <v>0</v>
      </c>
      <c r="L115" s="33">
        <f t="shared" si="6"/>
        <v>0</v>
      </c>
      <c r="M115" s="33"/>
    </row>
    <row r="116" spans="1:13" ht="267.75" hidden="1">
      <c r="A116" s="108"/>
      <c r="B116" s="108"/>
      <c r="C116" s="23" t="s">
        <v>43</v>
      </c>
      <c r="D116" s="34" t="s">
        <v>38</v>
      </c>
      <c r="E116" s="33">
        <v>-2</v>
      </c>
      <c r="F116" s="33"/>
      <c r="G116" s="33"/>
      <c r="H116" s="33"/>
      <c r="I116" s="33">
        <f t="shared" si="5"/>
        <v>0</v>
      </c>
      <c r="J116" s="33"/>
      <c r="K116" s="33"/>
      <c r="L116" s="33">
        <f t="shared" si="6"/>
        <v>2</v>
      </c>
      <c r="M116" s="33">
        <f t="shared" si="7"/>
        <v>0</v>
      </c>
    </row>
    <row r="117" spans="1:14" ht="15.75" hidden="1">
      <c r="A117" s="108"/>
      <c r="B117" s="108"/>
      <c r="C117" s="25"/>
      <c r="D117" s="3" t="s">
        <v>44</v>
      </c>
      <c r="E117" s="4">
        <f>SUM(E105:E108,E111:E116)</f>
        <v>1379</v>
      </c>
      <c r="F117" s="4">
        <f>SUM(F105:F108,F111:F116)</f>
        <v>3237.2</v>
      </c>
      <c r="G117" s="4">
        <f>SUM(G105:G108,G111:G116)</f>
        <v>1379.6999999999998</v>
      </c>
      <c r="H117" s="4">
        <f>SUM(H105:H108,H111:H116)</f>
        <v>752.3</v>
      </c>
      <c r="I117" s="4">
        <f t="shared" si="5"/>
        <v>-627.3999999999999</v>
      </c>
      <c r="J117" s="4">
        <f t="shared" si="8"/>
        <v>54.526346307168225</v>
      </c>
      <c r="K117" s="4">
        <f t="shared" si="9"/>
        <v>23.239219078215744</v>
      </c>
      <c r="L117" s="4">
        <f t="shared" si="6"/>
        <v>-626.7</v>
      </c>
      <c r="M117" s="4">
        <f t="shared" si="7"/>
        <v>54.554024655547494</v>
      </c>
      <c r="N117" s="5"/>
    </row>
    <row r="118" spans="1:13" ht="267.75" hidden="1">
      <c r="A118" s="108"/>
      <c r="B118" s="108"/>
      <c r="C118" s="23" t="s">
        <v>28</v>
      </c>
      <c r="D118" s="34" t="s">
        <v>29</v>
      </c>
      <c r="E118" s="33">
        <f>E119</f>
        <v>0</v>
      </c>
      <c r="F118" s="33">
        <f>F119</f>
        <v>0</v>
      </c>
      <c r="G118" s="33">
        <f>G119</f>
        <v>0</v>
      </c>
      <c r="H118" s="33">
        <f>H119</f>
        <v>5</v>
      </c>
      <c r="I118" s="33">
        <f t="shared" si="5"/>
        <v>5</v>
      </c>
      <c r="J118" s="33"/>
      <c r="K118" s="33"/>
      <c r="L118" s="33">
        <f t="shared" si="6"/>
        <v>5</v>
      </c>
      <c r="M118" s="33"/>
    </row>
    <row r="119" spans="1:13" ht="47.25" hidden="1">
      <c r="A119" s="108"/>
      <c r="B119" s="108"/>
      <c r="C119" s="22" t="s">
        <v>32</v>
      </c>
      <c r="D119" s="36" t="s">
        <v>33</v>
      </c>
      <c r="E119" s="33"/>
      <c r="F119" s="33"/>
      <c r="G119" s="33"/>
      <c r="H119" s="33">
        <v>5</v>
      </c>
      <c r="I119" s="33">
        <f t="shared" si="5"/>
        <v>5</v>
      </c>
      <c r="J119" s="33"/>
      <c r="K119" s="33"/>
      <c r="L119" s="33">
        <f t="shared" si="6"/>
        <v>5</v>
      </c>
      <c r="M119" s="33"/>
    </row>
    <row r="120" spans="1:14" ht="15.75" hidden="1">
      <c r="A120" s="108"/>
      <c r="B120" s="108"/>
      <c r="C120" s="27"/>
      <c r="D120" s="3" t="s">
        <v>47</v>
      </c>
      <c r="E120" s="4">
        <f>E118</f>
        <v>0</v>
      </c>
      <c r="F120" s="4">
        <f>F118</f>
        <v>0</v>
      </c>
      <c r="G120" s="4">
        <f>G118</f>
        <v>0</v>
      </c>
      <c r="H120" s="4">
        <f>H118</f>
        <v>5</v>
      </c>
      <c r="I120" s="4">
        <f t="shared" si="5"/>
        <v>5</v>
      </c>
      <c r="J120" s="4"/>
      <c r="K120" s="4"/>
      <c r="L120" s="4">
        <f t="shared" si="6"/>
        <v>5</v>
      </c>
      <c r="M120" s="4"/>
      <c r="N120" s="5"/>
    </row>
    <row r="121" spans="1:14" ht="31.5" hidden="1">
      <c r="A121" s="108"/>
      <c r="B121" s="108"/>
      <c r="C121" s="25"/>
      <c r="D121" s="3" t="s">
        <v>48</v>
      </c>
      <c r="E121" s="4">
        <f>E122-E116</f>
        <v>1381</v>
      </c>
      <c r="F121" s="4">
        <f>F122-F116</f>
        <v>3237.2</v>
      </c>
      <c r="G121" s="4">
        <f>G122-G116</f>
        <v>1379.6999999999998</v>
      </c>
      <c r="H121" s="4">
        <f>H122-H116</f>
        <v>757.3</v>
      </c>
      <c r="I121" s="4">
        <f t="shared" si="5"/>
        <v>-622.3999999999999</v>
      </c>
      <c r="J121" s="4">
        <f t="shared" si="8"/>
        <v>54.88874392983982</v>
      </c>
      <c r="K121" s="4">
        <f t="shared" si="9"/>
        <v>23.393673545038922</v>
      </c>
      <c r="L121" s="4">
        <f t="shared" si="6"/>
        <v>-623.7</v>
      </c>
      <c r="M121" s="4">
        <f t="shared" si="7"/>
        <v>54.83707458363505</v>
      </c>
      <c r="N121" s="5"/>
    </row>
    <row r="122" spans="1:14" ht="15.75" hidden="1">
      <c r="A122" s="109"/>
      <c r="B122" s="109"/>
      <c r="C122" s="19"/>
      <c r="D122" s="3" t="s">
        <v>67</v>
      </c>
      <c r="E122" s="4">
        <f>E117+E120</f>
        <v>1379</v>
      </c>
      <c r="F122" s="4">
        <f>F117+F120</f>
        <v>3237.2</v>
      </c>
      <c r="G122" s="4">
        <f>G117+G120</f>
        <v>1379.6999999999998</v>
      </c>
      <c r="H122" s="4">
        <f>H117+H120</f>
        <v>757.3</v>
      </c>
      <c r="I122" s="4">
        <f t="shared" si="5"/>
        <v>-622.3999999999999</v>
      </c>
      <c r="J122" s="4">
        <f t="shared" si="8"/>
        <v>54.88874392983982</v>
      </c>
      <c r="K122" s="4">
        <f t="shared" si="9"/>
        <v>23.393673545038922</v>
      </c>
      <c r="L122" s="4">
        <f t="shared" si="6"/>
        <v>-621.7</v>
      </c>
      <c r="M122" s="4">
        <f t="shared" si="7"/>
        <v>54.91660623640319</v>
      </c>
      <c r="N122" s="5"/>
    </row>
    <row r="123" spans="1:14" ht="267.75" hidden="1">
      <c r="A123" s="103">
        <v>926</v>
      </c>
      <c r="B123" s="103" t="s">
        <v>94</v>
      </c>
      <c r="C123" s="23" t="s">
        <v>20</v>
      </c>
      <c r="D123" s="47" t="s">
        <v>21</v>
      </c>
      <c r="E123" s="33">
        <v>21.2</v>
      </c>
      <c r="F123" s="33"/>
      <c r="G123" s="33"/>
      <c r="H123" s="33"/>
      <c r="I123" s="33">
        <f t="shared" si="5"/>
        <v>0</v>
      </c>
      <c r="J123" s="33"/>
      <c r="K123" s="33"/>
      <c r="L123" s="33">
        <f t="shared" si="6"/>
        <v>-21.2</v>
      </c>
      <c r="M123" s="33">
        <f t="shared" si="7"/>
        <v>0</v>
      </c>
      <c r="N123" s="5"/>
    </row>
    <row r="124" spans="1:14" ht="267.75" hidden="1">
      <c r="A124" s="106"/>
      <c r="B124" s="106"/>
      <c r="C124" s="23" t="s">
        <v>34</v>
      </c>
      <c r="D124" s="34" t="s">
        <v>35</v>
      </c>
      <c r="E124" s="33">
        <v>22.3</v>
      </c>
      <c r="F124" s="33"/>
      <c r="G124" s="33"/>
      <c r="H124" s="33"/>
      <c r="I124" s="33">
        <f t="shared" si="5"/>
        <v>0</v>
      </c>
      <c r="J124" s="33"/>
      <c r="K124" s="33"/>
      <c r="L124" s="33">
        <f t="shared" si="6"/>
        <v>-22.3</v>
      </c>
      <c r="M124" s="33">
        <f t="shared" si="7"/>
        <v>0</v>
      </c>
      <c r="N124" s="5"/>
    </row>
    <row r="125" spans="1:14" ht="267.75" hidden="1">
      <c r="A125" s="106"/>
      <c r="B125" s="106"/>
      <c r="C125" s="23" t="s">
        <v>39</v>
      </c>
      <c r="D125" s="34" t="s">
        <v>40</v>
      </c>
      <c r="E125" s="33"/>
      <c r="F125" s="33">
        <v>14.4</v>
      </c>
      <c r="G125" s="33">
        <v>14.4</v>
      </c>
      <c r="H125" s="33">
        <v>14.4</v>
      </c>
      <c r="I125" s="33">
        <f t="shared" si="5"/>
        <v>0</v>
      </c>
      <c r="J125" s="33">
        <f t="shared" si="8"/>
        <v>100</v>
      </c>
      <c r="K125" s="33">
        <f t="shared" si="9"/>
        <v>100</v>
      </c>
      <c r="L125" s="33">
        <f t="shared" si="6"/>
        <v>14.4</v>
      </c>
      <c r="M125" s="33"/>
      <c r="N125" s="5"/>
    </row>
    <row r="126" spans="1:14" ht="267.75" hidden="1">
      <c r="A126" s="106"/>
      <c r="B126" s="106"/>
      <c r="C126" s="23" t="s">
        <v>41</v>
      </c>
      <c r="D126" s="34" t="s">
        <v>91</v>
      </c>
      <c r="E126" s="33">
        <v>16.7</v>
      </c>
      <c r="F126" s="33"/>
      <c r="G126" s="33"/>
      <c r="H126" s="33"/>
      <c r="I126" s="33">
        <f t="shared" si="5"/>
        <v>0</v>
      </c>
      <c r="J126" s="33"/>
      <c r="K126" s="33"/>
      <c r="L126" s="33">
        <f t="shared" si="6"/>
        <v>-16.7</v>
      </c>
      <c r="M126" s="33">
        <f t="shared" si="7"/>
        <v>0</v>
      </c>
      <c r="N126" s="5"/>
    </row>
    <row r="127" spans="1:14" ht="15.75" hidden="1">
      <c r="A127" s="107"/>
      <c r="B127" s="107"/>
      <c r="C127" s="19"/>
      <c r="D127" s="3" t="s">
        <v>67</v>
      </c>
      <c r="E127" s="4">
        <f>SUM(E123:E126)</f>
        <v>60.2</v>
      </c>
      <c r="F127" s="4">
        <f>SUM(F123:F126)</f>
        <v>14.4</v>
      </c>
      <c r="G127" s="4">
        <f>SUM(G123:G126)</f>
        <v>14.4</v>
      </c>
      <c r="H127" s="4">
        <f>SUM(H123:H126)</f>
        <v>14.4</v>
      </c>
      <c r="I127" s="4">
        <f t="shared" si="5"/>
        <v>0</v>
      </c>
      <c r="J127" s="4">
        <f t="shared" si="8"/>
        <v>100</v>
      </c>
      <c r="K127" s="4">
        <f t="shared" si="9"/>
        <v>100</v>
      </c>
      <c r="L127" s="4">
        <f t="shared" si="6"/>
        <v>-45.800000000000004</v>
      </c>
      <c r="M127" s="4">
        <f t="shared" si="7"/>
        <v>23.920265780730894</v>
      </c>
      <c r="N127" s="5"/>
    </row>
    <row r="128" spans="1:13" ht="267.75" hidden="1">
      <c r="A128" s="110" t="s">
        <v>95</v>
      </c>
      <c r="B128" s="111" t="s">
        <v>96</v>
      </c>
      <c r="C128" s="23" t="s">
        <v>14</v>
      </c>
      <c r="D128" s="46" t="s">
        <v>15</v>
      </c>
      <c r="E128" s="52"/>
      <c r="F128" s="52"/>
      <c r="G128" s="52"/>
      <c r="H128" s="52">
        <v>3400.7</v>
      </c>
      <c r="I128" s="52">
        <f t="shared" si="5"/>
        <v>3400.7</v>
      </c>
      <c r="J128" s="52"/>
      <c r="K128" s="52"/>
      <c r="L128" s="52">
        <f t="shared" si="6"/>
        <v>3400.7</v>
      </c>
      <c r="M128" s="52"/>
    </row>
    <row r="129" spans="1:13" ht="267.75" hidden="1">
      <c r="A129" s="110"/>
      <c r="B129" s="111"/>
      <c r="C129" s="23" t="s">
        <v>20</v>
      </c>
      <c r="D129" s="47" t="s">
        <v>21</v>
      </c>
      <c r="E129" s="52">
        <v>5608.3</v>
      </c>
      <c r="F129" s="52"/>
      <c r="G129" s="52"/>
      <c r="H129" s="52">
        <v>4526.5</v>
      </c>
      <c r="I129" s="52">
        <f t="shared" si="5"/>
        <v>4526.5</v>
      </c>
      <c r="J129" s="52"/>
      <c r="K129" s="52"/>
      <c r="L129" s="52">
        <f t="shared" si="6"/>
        <v>-1081.8000000000002</v>
      </c>
      <c r="M129" s="52">
        <f t="shared" si="7"/>
        <v>80.71073230747285</v>
      </c>
    </row>
    <row r="130" spans="1:13" ht="267.75" hidden="1">
      <c r="A130" s="110"/>
      <c r="B130" s="111"/>
      <c r="C130" s="23" t="s">
        <v>28</v>
      </c>
      <c r="D130" s="34" t="s">
        <v>29</v>
      </c>
      <c r="E130" s="52">
        <f>E132+E131</f>
        <v>854.9</v>
      </c>
      <c r="F130" s="52">
        <f>F132+F131</f>
        <v>0</v>
      </c>
      <c r="G130" s="52">
        <f>G132+G131</f>
        <v>0</v>
      </c>
      <c r="H130" s="52">
        <f>H132+H131</f>
        <v>280.9</v>
      </c>
      <c r="I130" s="52">
        <f t="shared" si="5"/>
        <v>280.9</v>
      </c>
      <c r="J130" s="52"/>
      <c r="K130" s="52"/>
      <c r="L130" s="52">
        <f t="shared" si="6"/>
        <v>-574</v>
      </c>
      <c r="M130" s="52">
        <f t="shared" si="7"/>
        <v>32.85764416890864</v>
      </c>
    </row>
    <row r="131" spans="1:13" ht="63" hidden="1">
      <c r="A131" s="110"/>
      <c r="B131" s="111"/>
      <c r="C131" s="22" t="s">
        <v>30</v>
      </c>
      <c r="D131" s="49" t="s">
        <v>31</v>
      </c>
      <c r="E131" s="52"/>
      <c r="F131" s="52"/>
      <c r="G131" s="52"/>
      <c r="H131" s="52"/>
      <c r="I131" s="52">
        <f t="shared" si="5"/>
        <v>0</v>
      </c>
      <c r="J131" s="52"/>
      <c r="K131" s="52"/>
      <c r="L131" s="52">
        <f t="shared" si="6"/>
        <v>0</v>
      </c>
      <c r="M131" s="52" t="e">
        <f t="shared" si="7"/>
        <v>#DIV/0!</v>
      </c>
    </row>
    <row r="132" spans="1:13" ht="47.25" hidden="1">
      <c r="A132" s="110"/>
      <c r="B132" s="111"/>
      <c r="C132" s="22" t="s">
        <v>32</v>
      </c>
      <c r="D132" s="36" t="s">
        <v>33</v>
      </c>
      <c r="E132" s="52">
        <v>854.9</v>
      </c>
      <c r="F132" s="52"/>
      <c r="G132" s="52"/>
      <c r="H132" s="52">
        <v>280.9</v>
      </c>
      <c r="I132" s="52">
        <f t="shared" si="5"/>
        <v>280.9</v>
      </c>
      <c r="J132" s="52"/>
      <c r="K132" s="52"/>
      <c r="L132" s="52">
        <f t="shared" si="6"/>
        <v>-574</v>
      </c>
      <c r="M132" s="52">
        <f t="shared" si="7"/>
        <v>32.85764416890864</v>
      </c>
    </row>
    <row r="133" spans="1:13" ht="267.75" hidden="1">
      <c r="A133" s="110"/>
      <c r="B133" s="111"/>
      <c r="C133" s="23" t="s">
        <v>34</v>
      </c>
      <c r="D133" s="34" t="s">
        <v>35</v>
      </c>
      <c r="E133" s="52"/>
      <c r="F133" s="52"/>
      <c r="G133" s="52"/>
      <c r="H133" s="52">
        <v>12.3</v>
      </c>
      <c r="I133" s="52">
        <f t="shared" si="5"/>
        <v>12.3</v>
      </c>
      <c r="J133" s="52"/>
      <c r="K133" s="52"/>
      <c r="L133" s="52">
        <f t="shared" si="6"/>
        <v>12.3</v>
      </c>
      <c r="M133" s="52"/>
    </row>
    <row r="134" spans="1:13" ht="267.75" hidden="1">
      <c r="A134" s="110"/>
      <c r="B134" s="111"/>
      <c r="C134" s="23" t="s">
        <v>36</v>
      </c>
      <c r="D134" s="34" t="s">
        <v>37</v>
      </c>
      <c r="E134" s="52"/>
      <c r="F134" s="52"/>
      <c r="G134" s="52"/>
      <c r="H134" s="52"/>
      <c r="I134" s="52">
        <f t="shared" si="5"/>
        <v>0</v>
      </c>
      <c r="J134" s="52" t="e">
        <f t="shared" si="8"/>
        <v>#DIV/0!</v>
      </c>
      <c r="K134" s="52" t="e">
        <f t="shared" si="9"/>
        <v>#DIV/0!</v>
      </c>
      <c r="L134" s="52">
        <f t="shared" si="6"/>
        <v>0</v>
      </c>
      <c r="M134" s="52" t="e">
        <f t="shared" si="7"/>
        <v>#DIV/0!</v>
      </c>
    </row>
    <row r="135" spans="1:13" ht="267.75" hidden="1">
      <c r="A135" s="110"/>
      <c r="B135" s="111"/>
      <c r="C135" s="23" t="s">
        <v>39</v>
      </c>
      <c r="D135" s="34" t="s">
        <v>40</v>
      </c>
      <c r="E135" s="52">
        <v>12207.3</v>
      </c>
      <c r="F135" s="52">
        <v>245663.5</v>
      </c>
      <c r="G135" s="52">
        <v>45701.3</v>
      </c>
      <c r="H135" s="52">
        <v>50181.6</v>
      </c>
      <c r="I135" s="52">
        <f t="shared" si="5"/>
        <v>4480.299999999996</v>
      </c>
      <c r="J135" s="52">
        <f t="shared" si="8"/>
        <v>109.80344103997042</v>
      </c>
      <c r="K135" s="52">
        <f t="shared" si="9"/>
        <v>20.4269661549233</v>
      </c>
      <c r="L135" s="52">
        <f t="shared" si="6"/>
        <v>37974.3</v>
      </c>
      <c r="M135" s="52">
        <f t="shared" si="7"/>
        <v>411.07861689317053</v>
      </c>
    </row>
    <row r="136" spans="1:13" ht="267.75" hidden="1">
      <c r="A136" s="110"/>
      <c r="B136" s="111"/>
      <c r="C136" s="23" t="s">
        <v>41</v>
      </c>
      <c r="D136" s="34" t="s">
        <v>91</v>
      </c>
      <c r="E136" s="52">
        <v>1320859.3</v>
      </c>
      <c r="F136" s="52">
        <v>2344735.5</v>
      </c>
      <c r="G136" s="52">
        <f>46984.7+1386634.7+43246.6</f>
        <v>1476866</v>
      </c>
      <c r="H136" s="52">
        <f>48532.9+1479483.4+46000</f>
        <v>1574016.2999999998</v>
      </c>
      <c r="I136" s="52">
        <f t="shared" si="5"/>
        <v>97150.29999999981</v>
      </c>
      <c r="J136" s="52">
        <f t="shared" si="8"/>
        <v>106.57813911350114</v>
      </c>
      <c r="K136" s="52">
        <f t="shared" si="9"/>
        <v>67.12980206082946</v>
      </c>
      <c r="L136" s="52">
        <f t="shared" si="6"/>
        <v>253156.99999999977</v>
      </c>
      <c r="M136" s="52">
        <f t="shared" si="7"/>
        <v>119.16608377591767</v>
      </c>
    </row>
    <row r="137" spans="1:13" ht="267.75" hidden="1">
      <c r="A137" s="110"/>
      <c r="B137" s="111"/>
      <c r="C137" s="23" t="s">
        <v>59</v>
      </c>
      <c r="D137" s="36" t="s">
        <v>60</v>
      </c>
      <c r="E137" s="52">
        <v>5202.8</v>
      </c>
      <c r="F137" s="52">
        <v>9878.6</v>
      </c>
      <c r="G137" s="52">
        <v>5130.4</v>
      </c>
      <c r="H137" s="52">
        <v>5318.8</v>
      </c>
      <c r="I137" s="52">
        <f aca="true" t="shared" si="10" ref="I137:I200">H137-G137</f>
        <v>188.40000000000055</v>
      </c>
      <c r="J137" s="52">
        <f>H137/G137*100</f>
        <v>103.67222828629347</v>
      </c>
      <c r="K137" s="52">
        <f t="shared" si="9"/>
        <v>53.841637478995</v>
      </c>
      <c r="L137" s="52">
        <f aca="true" t="shared" si="11" ref="L137:L200">H137-E137</f>
        <v>116</v>
      </c>
      <c r="M137" s="52">
        <f aca="true" t="shared" si="12" ref="M137:M200">H137/E137*100</f>
        <v>102.22956869378028</v>
      </c>
    </row>
    <row r="138" spans="1:13" ht="267.75" hidden="1">
      <c r="A138" s="110"/>
      <c r="B138" s="111"/>
      <c r="C138" s="23" t="s">
        <v>43</v>
      </c>
      <c r="D138" s="34" t="s">
        <v>38</v>
      </c>
      <c r="E138" s="52">
        <v>-56243.1</v>
      </c>
      <c r="F138" s="52"/>
      <c r="G138" s="52"/>
      <c r="H138" s="52">
        <v>-20061</v>
      </c>
      <c r="I138" s="52">
        <f t="shared" si="10"/>
        <v>-20061</v>
      </c>
      <c r="J138" s="52"/>
      <c r="K138" s="52"/>
      <c r="L138" s="52">
        <f t="shared" si="11"/>
        <v>36182.1</v>
      </c>
      <c r="M138" s="52">
        <f t="shared" si="12"/>
        <v>35.668375320706005</v>
      </c>
    </row>
    <row r="139" spans="1:14" ht="31.5" hidden="1">
      <c r="A139" s="110"/>
      <c r="B139" s="111"/>
      <c r="C139" s="25"/>
      <c r="D139" s="3" t="s">
        <v>48</v>
      </c>
      <c r="E139" s="8">
        <f>E140-E138</f>
        <v>1344732.6</v>
      </c>
      <c r="F139" s="8">
        <f>F140-F138</f>
        <v>2600277.6</v>
      </c>
      <c r="G139" s="8">
        <f>G140-G138</f>
        <v>1527697.7</v>
      </c>
      <c r="H139" s="8">
        <f>H140-H138</f>
        <v>1637737.0999999999</v>
      </c>
      <c r="I139" s="8">
        <f t="shared" si="10"/>
        <v>110039.3999999999</v>
      </c>
      <c r="J139" s="8">
        <f>H139/G139*100</f>
        <v>107.20295644877909</v>
      </c>
      <c r="K139" s="8">
        <f t="shared" si="9"/>
        <v>62.98316379758837</v>
      </c>
      <c r="L139" s="8">
        <f t="shared" si="11"/>
        <v>293004.49999999977</v>
      </c>
      <c r="M139" s="8">
        <f t="shared" si="12"/>
        <v>121.78905308014394</v>
      </c>
      <c r="N139" s="5"/>
    </row>
    <row r="140" spans="1:14" ht="15.75" hidden="1">
      <c r="A140" s="110"/>
      <c r="B140" s="111"/>
      <c r="C140" s="19"/>
      <c r="D140" s="3" t="s">
        <v>67</v>
      </c>
      <c r="E140" s="4">
        <f>SUM(E128:E130,E133:E138)</f>
        <v>1288489.5</v>
      </c>
      <c r="F140" s="4">
        <f>SUM(F128:F130,F133:F138)</f>
        <v>2600277.6</v>
      </c>
      <c r="G140" s="4">
        <f>SUM(G128:G130,G133:G138)</f>
        <v>1527697.7</v>
      </c>
      <c r="H140" s="4">
        <f>SUM(H128:H130,H133:H138)</f>
        <v>1617676.0999999999</v>
      </c>
      <c r="I140" s="4">
        <f t="shared" si="10"/>
        <v>89978.3999999999</v>
      </c>
      <c r="J140" s="4">
        <f>H140/G140*100</f>
        <v>105.8898039841259</v>
      </c>
      <c r="K140" s="4">
        <f t="shared" si="9"/>
        <v>62.211669246391224</v>
      </c>
      <c r="L140" s="4">
        <f t="shared" si="11"/>
        <v>329186.59999999986</v>
      </c>
      <c r="M140" s="4">
        <f t="shared" si="12"/>
        <v>125.54825631097498</v>
      </c>
      <c r="N140" s="5"/>
    </row>
    <row r="141" spans="1:14" ht="267.75" hidden="1">
      <c r="A141" s="100" t="s">
        <v>97</v>
      </c>
      <c r="B141" s="103" t="s">
        <v>98</v>
      </c>
      <c r="C141" s="23" t="s">
        <v>20</v>
      </c>
      <c r="D141" s="47" t="s">
        <v>21</v>
      </c>
      <c r="E141" s="33"/>
      <c r="F141" s="4"/>
      <c r="G141" s="4"/>
      <c r="H141" s="33">
        <v>14.9</v>
      </c>
      <c r="I141" s="33">
        <f t="shared" si="10"/>
        <v>14.9</v>
      </c>
      <c r="J141" s="33"/>
      <c r="K141" s="33"/>
      <c r="L141" s="33">
        <f t="shared" si="11"/>
        <v>14.9</v>
      </c>
      <c r="M141" s="33"/>
      <c r="N141" s="5"/>
    </row>
    <row r="142" spans="1:13" ht="267.75" hidden="1">
      <c r="A142" s="108"/>
      <c r="B142" s="112"/>
      <c r="C142" s="23" t="s">
        <v>28</v>
      </c>
      <c r="D142" s="34" t="s">
        <v>29</v>
      </c>
      <c r="E142" s="33">
        <f>E144+E143</f>
        <v>7.4</v>
      </c>
      <c r="F142" s="33">
        <f>F144+F143</f>
        <v>0</v>
      </c>
      <c r="G142" s="33">
        <f>G144+G143</f>
        <v>0</v>
      </c>
      <c r="H142" s="33">
        <f>H144+H143</f>
        <v>6.5</v>
      </c>
      <c r="I142" s="33">
        <f t="shared" si="10"/>
        <v>6.5</v>
      </c>
      <c r="J142" s="33"/>
      <c r="K142" s="33"/>
      <c r="L142" s="33">
        <f t="shared" si="11"/>
        <v>-0.9000000000000004</v>
      </c>
      <c r="M142" s="33">
        <f t="shared" si="12"/>
        <v>87.83783783783782</v>
      </c>
    </row>
    <row r="143" spans="1:13" ht="63" hidden="1">
      <c r="A143" s="108"/>
      <c r="B143" s="112"/>
      <c r="C143" s="22" t="s">
        <v>30</v>
      </c>
      <c r="D143" s="49" t="s">
        <v>31</v>
      </c>
      <c r="E143" s="33"/>
      <c r="F143" s="33"/>
      <c r="G143" s="33"/>
      <c r="H143" s="33"/>
      <c r="I143" s="33">
        <f t="shared" si="10"/>
        <v>0</v>
      </c>
      <c r="J143" s="33"/>
      <c r="K143" s="33"/>
      <c r="L143" s="33">
        <f t="shared" si="11"/>
        <v>0</v>
      </c>
      <c r="M143" s="33" t="e">
        <f t="shared" si="12"/>
        <v>#DIV/0!</v>
      </c>
    </row>
    <row r="144" spans="1:13" ht="47.25" hidden="1">
      <c r="A144" s="108"/>
      <c r="B144" s="112"/>
      <c r="C144" s="22" t="s">
        <v>32</v>
      </c>
      <c r="D144" s="36" t="s">
        <v>33</v>
      </c>
      <c r="E144" s="33">
        <v>7.4</v>
      </c>
      <c r="F144" s="33"/>
      <c r="G144" s="33"/>
      <c r="H144" s="33">
        <v>6.5</v>
      </c>
      <c r="I144" s="33">
        <f t="shared" si="10"/>
        <v>6.5</v>
      </c>
      <c r="J144" s="33"/>
      <c r="K144" s="33"/>
      <c r="L144" s="33">
        <f t="shared" si="11"/>
        <v>-0.9000000000000004</v>
      </c>
      <c r="M144" s="33">
        <f t="shared" si="12"/>
        <v>87.83783783783782</v>
      </c>
    </row>
    <row r="145" spans="1:13" ht="267.75" hidden="1">
      <c r="A145" s="108"/>
      <c r="B145" s="112"/>
      <c r="C145" s="23" t="s">
        <v>34</v>
      </c>
      <c r="D145" s="34" t="s">
        <v>35</v>
      </c>
      <c r="E145" s="33"/>
      <c r="F145" s="33"/>
      <c r="G145" s="33"/>
      <c r="H145" s="33">
        <v>5.1</v>
      </c>
      <c r="I145" s="33">
        <f t="shared" si="10"/>
        <v>5.1</v>
      </c>
      <c r="J145" s="33"/>
      <c r="K145" s="33"/>
      <c r="L145" s="33">
        <f t="shared" si="11"/>
        <v>5.1</v>
      </c>
      <c r="M145" s="33"/>
    </row>
    <row r="146" spans="1:13" ht="267.75" hidden="1">
      <c r="A146" s="108"/>
      <c r="B146" s="112"/>
      <c r="C146" s="23" t="s">
        <v>36</v>
      </c>
      <c r="D146" s="34" t="s">
        <v>37</v>
      </c>
      <c r="E146" s="33">
        <v>1088.8</v>
      </c>
      <c r="F146" s="53">
        <v>836.6</v>
      </c>
      <c r="G146" s="53">
        <v>836.6</v>
      </c>
      <c r="H146" s="33">
        <v>1046.9</v>
      </c>
      <c r="I146" s="33">
        <f t="shared" si="10"/>
        <v>210.30000000000007</v>
      </c>
      <c r="J146" s="33">
        <f>H146/G146*100</f>
        <v>125.13746115228305</v>
      </c>
      <c r="K146" s="33">
        <f>H146/F146*100</f>
        <v>125.13746115228305</v>
      </c>
      <c r="L146" s="33">
        <f t="shared" si="11"/>
        <v>-41.899999999999864</v>
      </c>
      <c r="M146" s="33">
        <f t="shared" si="12"/>
        <v>96.15172667156504</v>
      </c>
    </row>
    <row r="147" spans="1:13" ht="267.75" hidden="1">
      <c r="A147" s="108"/>
      <c r="B147" s="112"/>
      <c r="C147" s="23" t="s">
        <v>39</v>
      </c>
      <c r="D147" s="34" t="s">
        <v>40</v>
      </c>
      <c r="E147" s="54"/>
      <c r="F147" s="33"/>
      <c r="G147" s="33"/>
      <c r="H147" s="33"/>
      <c r="I147" s="54">
        <f t="shared" si="10"/>
        <v>0</v>
      </c>
      <c r="J147" s="54" t="e">
        <f>H147/G147*100</f>
        <v>#DIV/0!</v>
      </c>
      <c r="K147" s="54" t="e">
        <f>H147/F147*100</f>
        <v>#DIV/0!</v>
      </c>
      <c r="L147" s="54">
        <f t="shared" si="11"/>
        <v>0</v>
      </c>
      <c r="M147" s="54" t="e">
        <f t="shared" si="12"/>
        <v>#DIV/0!</v>
      </c>
    </row>
    <row r="148" spans="1:13" ht="267.75" hidden="1">
      <c r="A148" s="108"/>
      <c r="B148" s="112"/>
      <c r="C148" s="23" t="s">
        <v>41</v>
      </c>
      <c r="D148" s="34" t="s">
        <v>91</v>
      </c>
      <c r="E148" s="33">
        <v>2608.8</v>
      </c>
      <c r="F148" s="33">
        <v>3090.9</v>
      </c>
      <c r="G148" s="33">
        <f>1469.6+344.7</f>
        <v>1814.3</v>
      </c>
      <c r="H148" s="33">
        <f>1889.6+394.2</f>
        <v>2283.7999999999997</v>
      </c>
      <c r="I148" s="33">
        <f t="shared" si="10"/>
        <v>469.4999999999998</v>
      </c>
      <c r="J148" s="33">
        <f>H148/G148*100</f>
        <v>125.8777489941024</v>
      </c>
      <c r="K148" s="33">
        <f>H148/F148*100</f>
        <v>73.88786437607169</v>
      </c>
      <c r="L148" s="33">
        <f t="shared" si="11"/>
        <v>-325.00000000000045</v>
      </c>
      <c r="M148" s="33">
        <f t="shared" si="12"/>
        <v>87.54216498006745</v>
      </c>
    </row>
    <row r="149" spans="1:13" ht="267.75" hidden="1">
      <c r="A149" s="108"/>
      <c r="B149" s="112"/>
      <c r="C149" s="23" t="s">
        <v>59</v>
      </c>
      <c r="D149" s="36" t="s">
        <v>60</v>
      </c>
      <c r="E149" s="33">
        <v>3484.7</v>
      </c>
      <c r="F149" s="33"/>
      <c r="G149" s="33"/>
      <c r="H149" s="33"/>
      <c r="I149" s="33">
        <f t="shared" si="10"/>
        <v>0</v>
      </c>
      <c r="J149" s="33"/>
      <c r="K149" s="33"/>
      <c r="L149" s="33">
        <f t="shared" si="11"/>
        <v>-3484.7</v>
      </c>
      <c r="M149" s="33">
        <f t="shared" si="12"/>
        <v>0</v>
      </c>
    </row>
    <row r="150" spans="1:13" ht="267.75" hidden="1">
      <c r="A150" s="108"/>
      <c r="B150" s="112"/>
      <c r="C150" s="23" t="s">
        <v>43</v>
      </c>
      <c r="D150" s="34" t="s">
        <v>38</v>
      </c>
      <c r="E150" s="33">
        <v>-659.7</v>
      </c>
      <c r="F150" s="33"/>
      <c r="G150" s="33"/>
      <c r="H150" s="33">
        <v>-25.6</v>
      </c>
      <c r="I150" s="33">
        <f t="shared" si="10"/>
        <v>-25.6</v>
      </c>
      <c r="J150" s="33"/>
      <c r="K150" s="33"/>
      <c r="L150" s="33">
        <f t="shared" si="11"/>
        <v>634.1</v>
      </c>
      <c r="M150" s="33">
        <f t="shared" si="12"/>
        <v>3.880551765954222</v>
      </c>
    </row>
    <row r="151" spans="1:14" ht="31.5" hidden="1">
      <c r="A151" s="108"/>
      <c r="B151" s="112"/>
      <c r="C151" s="25"/>
      <c r="D151" s="3" t="s">
        <v>48</v>
      </c>
      <c r="E151" s="4">
        <f>E152-E150</f>
        <v>7189.7</v>
      </c>
      <c r="F151" s="4">
        <f>F152-F150</f>
        <v>3927.5</v>
      </c>
      <c r="G151" s="4">
        <f>G152-G150</f>
        <v>2650.9</v>
      </c>
      <c r="H151" s="4">
        <f>H152-H150</f>
        <v>3357.2</v>
      </c>
      <c r="I151" s="4">
        <f t="shared" si="10"/>
        <v>706.2999999999997</v>
      </c>
      <c r="J151" s="4">
        <f>H151/G151*100</f>
        <v>126.64378135727488</v>
      </c>
      <c r="K151" s="4">
        <f>H151/F151*100</f>
        <v>85.47931253978356</v>
      </c>
      <c r="L151" s="4">
        <f t="shared" si="11"/>
        <v>-3832.5</v>
      </c>
      <c r="M151" s="4">
        <f t="shared" si="12"/>
        <v>46.69457696426832</v>
      </c>
      <c r="N151" s="5"/>
    </row>
    <row r="152" spans="1:14" ht="15.75" hidden="1">
      <c r="A152" s="109"/>
      <c r="B152" s="113"/>
      <c r="C152" s="31"/>
      <c r="D152" s="3" t="s">
        <v>67</v>
      </c>
      <c r="E152" s="8">
        <f>SUM(E141:E142,E145:E150)</f>
        <v>6530</v>
      </c>
      <c r="F152" s="8">
        <f>SUM(F141:F142,F145:F150)</f>
        <v>3927.5</v>
      </c>
      <c r="G152" s="8">
        <f>SUM(G141:G142,G145:G150)</f>
        <v>2650.9</v>
      </c>
      <c r="H152" s="8">
        <f>SUM(H141:H142,H145:H150)</f>
        <v>3331.6</v>
      </c>
      <c r="I152" s="8">
        <f t="shared" si="10"/>
        <v>680.6999999999998</v>
      </c>
      <c r="J152" s="8">
        <f>H152/G152*100</f>
        <v>125.67807159832509</v>
      </c>
      <c r="K152" s="8">
        <f>H152/F152*100</f>
        <v>84.82749840865691</v>
      </c>
      <c r="L152" s="8">
        <f t="shared" si="11"/>
        <v>-3198.4</v>
      </c>
      <c r="M152" s="8">
        <f t="shared" si="12"/>
        <v>51.01990811638591</v>
      </c>
      <c r="N152" s="5"/>
    </row>
    <row r="153" spans="1:13" ht="267.75" hidden="1">
      <c r="A153" s="110" t="s">
        <v>99</v>
      </c>
      <c r="B153" s="111" t="s">
        <v>100</v>
      </c>
      <c r="C153" s="23" t="s">
        <v>20</v>
      </c>
      <c r="D153" s="47" t="s">
        <v>21</v>
      </c>
      <c r="E153" s="33">
        <v>6.1</v>
      </c>
      <c r="F153" s="33"/>
      <c r="G153" s="33"/>
      <c r="H153" s="33">
        <v>92.5</v>
      </c>
      <c r="I153" s="33">
        <f t="shared" si="10"/>
        <v>92.5</v>
      </c>
      <c r="J153" s="33"/>
      <c r="K153" s="33"/>
      <c r="L153" s="33">
        <f t="shared" si="11"/>
        <v>86.4</v>
      </c>
      <c r="M153" s="33">
        <f t="shared" si="12"/>
        <v>1516.393442622951</v>
      </c>
    </row>
    <row r="154" spans="1:13" ht="267.75" hidden="1">
      <c r="A154" s="110"/>
      <c r="B154" s="111"/>
      <c r="C154" s="23" t="s">
        <v>101</v>
      </c>
      <c r="D154" s="34" t="s">
        <v>102</v>
      </c>
      <c r="E154" s="33"/>
      <c r="F154" s="33"/>
      <c r="G154" s="33"/>
      <c r="H154" s="33"/>
      <c r="I154" s="33">
        <f t="shared" si="10"/>
        <v>0</v>
      </c>
      <c r="J154" s="33"/>
      <c r="K154" s="33"/>
      <c r="L154" s="33">
        <f t="shared" si="11"/>
        <v>0</v>
      </c>
      <c r="M154" s="33" t="e">
        <f t="shared" si="12"/>
        <v>#DIV/0!</v>
      </c>
    </row>
    <row r="155" spans="1:13" ht="267.75" hidden="1">
      <c r="A155" s="114"/>
      <c r="B155" s="115"/>
      <c r="C155" s="23" t="s">
        <v>28</v>
      </c>
      <c r="D155" s="34" t="s">
        <v>29</v>
      </c>
      <c r="E155" s="33">
        <f>E157+E156</f>
        <v>2</v>
      </c>
      <c r="F155" s="33">
        <f>F157+F156</f>
        <v>0</v>
      </c>
      <c r="G155" s="33">
        <f>G157+G156</f>
        <v>0</v>
      </c>
      <c r="H155" s="33">
        <f>H157+H156</f>
        <v>510</v>
      </c>
      <c r="I155" s="33">
        <f t="shared" si="10"/>
        <v>510</v>
      </c>
      <c r="J155" s="33"/>
      <c r="K155" s="33"/>
      <c r="L155" s="33">
        <f t="shared" si="11"/>
        <v>508</v>
      </c>
      <c r="M155" s="33">
        <f t="shared" si="12"/>
        <v>25500</v>
      </c>
    </row>
    <row r="156" spans="1:13" ht="63" hidden="1">
      <c r="A156" s="114"/>
      <c r="B156" s="115"/>
      <c r="C156" s="22" t="s">
        <v>30</v>
      </c>
      <c r="D156" s="49" t="s">
        <v>31</v>
      </c>
      <c r="E156" s="33"/>
      <c r="F156" s="33"/>
      <c r="G156" s="33"/>
      <c r="H156" s="33">
        <v>510</v>
      </c>
      <c r="I156" s="33">
        <f t="shared" si="10"/>
        <v>510</v>
      </c>
      <c r="J156" s="33" t="e">
        <f>H156/G156*100</f>
        <v>#DIV/0!</v>
      </c>
      <c r="K156" s="33" t="e">
        <f>H156/F156*100</f>
        <v>#DIV/0!</v>
      </c>
      <c r="L156" s="33">
        <f t="shared" si="11"/>
        <v>510</v>
      </c>
      <c r="M156" s="33" t="e">
        <f t="shared" si="12"/>
        <v>#DIV/0!</v>
      </c>
    </row>
    <row r="157" spans="1:13" ht="47.25" hidden="1">
      <c r="A157" s="114"/>
      <c r="B157" s="115"/>
      <c r="C157" s="22" t="s">
        <v>32</v>
      </c>
      <c r="D157" s="36" t="s">
        <v>33</v>
      </c>
      <c r="E157" s="33">
        <v>2</v>
      </c>
      <c r="F157" s="33"/>
      <c r="G157" s="33"/>
      <c r="H157" s="33"/>
      <c r="I157" s="33">
        <f t="shared" si="10"/>
        <v>0</v>
      </c>
      <c r="J157" s="33" t="e">
        <f>H157/G157*100</f>
        <v>#DIV/0!</v>
      </c>
      <c r="K157" s="33" t="e">
        <f>H157/F157*100</f>
        <v>#DIV/0!</v>
      </c>
      <c r="L157" s="33">
        <f t="shared" si="11"/>
        <v>-2</v>
      </c>
      <c r="M157" s="33">
        <f t="shared" si="12"/>
        <v>0</v>
      </c>
    </row>
    <row r="158" spans="1:13" ht="267.75" hidden="1">
      <c r="A158" s="114"/>
      <c r="B158" s="115"/>
      <c r="C158" s="23" t="s">
        <v>34</v>
      </c>
      <c r="D158" s="34" t="s">
        <v>35</v>
      </c>
      <c r="E158" s="33">
        <v>-2</v>
      </c>
      <c r="F158" s="33"/>
      <c r="G158" s="33"/>
      <c r="H158" s="33"/>
      <c r="I158" s="33">
        <f t="shared" si="10"/>
        <v>0</v>
      </c>
      <c r="J158" s="33"/>
      <c r="K158" s="33"/>
      <c r="L158" s="33">
        <f t="shared" si="11"/>
        <v>2</v>
      </c>
      <c r="M158" s="33">
        <f t="shared" si="12"/>
        <v>0</v>
      </c>
    </row>
    <row r="159" spans="1:13" ht="267.75" hidden="1">
      <c r="A159" s="114"/>
      <c r="B159" s="115"/>
      <c r="C159" s="23" t="s">
        <v>36</v>
      </c>
      <c r="D159" s="34" t="s">
        <v>37</v>
      </c>
      <c r="E159" s="33">
        <v>759.2</v>
      </c>
      <c r="F159" s="33">
        <v>684.9</v>
      </c>
      <c r="G159" s="33">
        <v>379.9</v>
      </c>
      <c r="H159" s="33">
        <v>794.8</v>
      </c>
      <c r="I159" s="33">
        <f t="shared" si="10"/>
        <v>414.9</v>
      </c>
      <c r="J159" s="33">
        <f>H159/G159*100</f>
        <v>209.21295077652013</v>
      </c>
      <c r="K159" s="33">
        <f>H159/F159*100</f>
        <v>116.04613812235363</v>
      </c>
      <c r="L159" s="33">
        <f t="shared" si="11"/>
        <v>35.59999999999991</v>
      </c>
      <c r="M159" s="33">
        <f t="shared" si="12"/>
        <v>104.68914646996839</v>
      </c>
    </row>
    <row r="160" spans="1:13" ht="267.75" hidden="1">
      <c r="A160" s="114"/>
      <c r="B160" s="115"/>
      <c r="C160" s="23" t="s">
        <v>39</v>
      </c>
      <c r="D160" s="34" t="s">
        <v>40</v>
      </c>
      <c r="E160" s="33"/>
      <c r="F160" s="33"/>
      <c r="G160" s="33"/>
      <c r="H160" s="33"/>
      <c r="I160" s="33">
        <f t="shared" si="10"/>
        <v>0</v>
      </c>
      <c r="J160" s="33"/>
      <c r="K160" s="33"/>
      <c r="L160" s="33">
        <f t="shared" si="11"/>
        <v>0</v>
      </c>
      <c r="M160" s="33"/>
    </row>
    <row r="161" spans="1:13" ht="267.75" hidden="1">
      <c r="A161" s="114"/>
      <c r="B161" s="115"/>
      <c r="C161" s="23" t="s">
        <v>41</v>
      </c>
      <c r="D161" s="34" t="s">
        <v>91</v>
      </c>
      <c r="E161" s="33">
        <v>3995.4</v>
      </c>
      <c r="F161" s="33">
        <v>5052</v>
      </c>
      <c r="G161" s="33">
        <f>2046.1+730.3</f>
        <v>2776.3999999999996</v>
      </c>
      <c r="H161" s="33">
        <f>2726.4+1100</f>
        <v>3826.4</v>
      </c>
      <c r="I161" s="33">
        <f t="shared" si="10"/>
        <v>1050.0000000000005</v>
      </c>
      <c r="J161" s="33">
        <f>H161/G161*100</f>
        <v>137.81875810401962</v>
      </c>
      <c r="K161" s="33">
        <f>H161/F161*100</f>
        <v>75.7403008709422</v>
      </c>
      <c r="L161" s="33">
        <f t="shared" si="11"/>
        <v>-169</v>
      </c>
      <c r="M161" s="33">
        <f t="shared" si="12"/>
        <v>95.77013565600441</v>
      </c>
    </row>
    <row r="162" spans="1:13" ht="267.75" hidden="1">
      <c r="A162" s="114"/>
      <c r="B162" s="115"/>
      <c r="C162" s="23" t="s">
        <v>59</v>
      </c>
      <c r="D162" s="36" t="s">
        <v>60</v>
      </c>
      <c r="E162" s="33">
        <v>12917.5</v>
      </c>
      <c r="F162" s="33"/>
      <c r="G162" s="33"/>
      <c r="H162" s="33"/>
      <c r="I162" s="33">
        <f t="shared" si="10"/>
        <v>0</v>
      </c>
      <c r="J162" s="33"/>
      <c r="K162" s="33"/>
      <c r="L162" s="33">
        <f t="shared" si="11"/>
        <v>-12917.5</v>
      </c>
      <c r="M162" s="33">
        <f t="shared" si="12"/>
        <v>0</v>
      </c>
    </row>
    <row r="163" spans="1:13" ht="267.75" hidden="1">
      <c r="A163" s="114"/>
      <c r="B163" s="115"/>
      <c r="C163" s="23" t="s">
        <v>43</v>
      </c>
      <c r="D163" s="34" t="s">
        <v>38</v>
      </c>
      <c r="E163" s="33">
        <v>-679.5</v>
      </c>
      <c r="F163" s="33"/>
      <c r="G163" s="33"/>
      <c r="H163" s="33">
        <v>-247.4</v>
      </c>
      <c r="I163" s="33">
        <f t="shared" si="10"/>
        <v>-247.4</v>
      </c>
      <c r="J163" s="33"/>
      <c r="K163" s="33"/>
      <c r="L163" s="33">
        <f t="shared" si="11"/>
        <v>432.1</v>
      </c>
      <c r="M163" s="33">
        <f t="shared" si="12"/>
        <v>36.409124356144225</v>
      </c>
    </row>
    <row r="164" spans="1:14" ht="31.5" hidden="1">
      <c r="A164" s="114"/>
      <c r="B164" s="115"/>
      <c r="C164" s="25"/>
      <c r="D164" s="3" t="s">
        <v>48</v>
      </c>
      <c r="E164" s="4">
        <f>E165-E163</f>
        <v>17678.2</v>
      </c>
      <c r="F164" s="4">
        <f>F165-F163</f>
        <v>5736.9</v>
      </c>
      <c r="G164" s="4">
        <f>G165-G163</f>
        <v>3156.2999999999997</v>
      </c>
      <c r="H164" s="4">
        <f>H165-H163</f>
        <v>5223.7</v>
      </c>
      <c r="I164" s="4">
        <f t="shared" si="10"/>
        <v>2067.4</v>
      </c>
      <c r="J164" s="4">
        <f>H164/G164*100</f>
        <v>165.50074454266073</v>
      </c>
      <c r="K164" s="4">
        <f>H164/F164*100</f>
        <v>91.05440220328052</v>
      </c>
      <c r="L164" s="4">
        <f t="shared" si="11"/>
        <v>-12454.5</v>
      </c>
      <c r="M164" s="4">
        <f t="shared" si="12"/>
        <v>29.548822843954696</v>
      </c>
      <c r="N164" s="5"/>
    </row>
    <row r="165" spans="1:14" ht="15.75" hidden="1">
      <c r="A165" s="114"/>
      <c r="B165" s="115"/>
      <c r="C165" s="31"/>
      <c r="D165" s="3" t="s">
        <v>67</v>
      </c>
      <c r="E165" s="8">
        <f>SUM(E153:E155,E158:E163)</f>
        <v>16998.7</v>
      </c>
      <c r="F165" s="8">
        <f>SUM(F153:F155,F158:F163)</f>
        <v>5736.9</v>
      </c>
      <c r="G165" s="8">
        <f>SUM(G153:G155,G158:G163)</f>
        <v>3156.2999999999997</v>
      </c>
      <c r="H165" s="8">
        <f>SUM(H153:H155,H158:H163)</f>
        <v>4976.3</v>
      </c>
      <c r="I165" s="8">
        <f t="shared" si="10"/>
        <v>1820.0000000000005</v>
      </c>
      <c r="J165" s="8">
        <f>H165/G165*100</f>
        <v>157.66245287203373</v>
      </c>
      <c r="K165" s="8">
        <f>H165/F165*100</f>
        <v>86.74196865903188</v>
      </c>
      <c r="L165" s="8">
        <f t="shared" si="11"/>
        <v>-12022.400000000001</v>
      </c>
      <c r="M165" s="8">
        <f t="shared" si="12"/>
        <v>29.274591586415433</v>
      </c>
      <c r="N165" s="5"/>
    </row>
    <row r="166" spans="1:13" ht="267.75" hidden="1">
      <c r="A166" s="110" t="s">
        <v>103</v>
      </c>
      <c r="B166" s="111" t="s">
        <v>104</v>
      </c>
      <c r="C166" s="23" t="s">
        <v>20</v>
      </c>
      <c r="D166" s="47" t="s">
        <v>21</v>
      </c>
      <c r="E166" s="33">
        <v>494.6</v>
      </c>
      <c r="F166" s="33"/>
      <c r="G166" s="33"/>
      <c r="H166" s="33">
        <v>79.7</v>
      </c>
      <c r="I166" s="33">
        <f t="shared" si="10"/>
        <v>79.7</v>
      </c>
      <c r="J166" s="33"/>
      <c r="K166" s="33"/>
      <c r="L166" s="33">
        <f t="shared" si="11"/>
        <v>-414.90000000000003</v>
      </c>
      <c r="M166" s="33">
        <f t="shared" si="12"/>
        <v>16.1140315406389</v>
      </c>
    </row>
    <row r="167" spans="1:13" ht="267.75" hidden="1">
      <c r="A167" s="110"/>
      <c r="B167" s="111"/>
      <c r="C167" s="23" t="s">
        <v>101</v>
      </c>
      <c r="D167" s="34" t="s">
        <v>102</v>
      </c>
      <c r="E167" s="33"/>
      <c r="F167" s="33"/>
      <c r="G167" s="33"/>
      <c r="H167" s="33"/>
      <c r="I167" s="33">
        <f t="shared" si="10"/>
        <v>0</v>
      </c>
      <c r="J167" s="33"/>
      <c r="K167" s="33"/>
      <c r="L167" s="33">
        <f t="shared" si="11"/>
        <v>0</v>
      </c>
      <c r="M167" s="33" t="e">
        <f t="shared" si="12"/>
        <v>#DIV/0!</v>
      </c>
    </row>
    <row r="168" spans="1:13" ht="267.75" hidden="1">
      <c r="A168" s="114"/>
      <c r="B168" s="115"/>
      <c r="C168" s="23" t="s">
        <v>28</v>
      </c>
      <c r="D168" s="34" t="s">
        <v>29</v>
      </c>
      <c r="E168" s="33">
        <f>E169</f>
        <v>291.5</v>
      </c>
      <c r="F168" s="33">
        <f>F169</f>
        <v>0</v>
      </c>
      <c r="G168" s="33">
        <f>G169</f>
        <v>0</v>
      </c>
      <c r="H168" s="33">
        <v>808.1</v>
      </c>
      <c r="I168" s="33">
        <f t="shared" si="10"/>
        <v>808.1</v>
      </c>
      <c r="J168" s="33"/>
      <c r="K168" s="33"/>
      <c r="L168" s="33">
        <f t="shared" si="11"/>
        <v>516.6</v>
      </c>
      <c r="M168" s="33">
        <f t="shared" si="12"/>
        <v>277.221269296741</v>
      </c>
    </row>
    <row r="169" spans="1:13" ht="47.25" hidden="1">
      <c r="A169" s="114"/>
      <c r="B169" s="115"/>
      <c r="C169" s="22" t="s">
        <v>32</v>
      </c>
      <c r="D169" s="36" t="s">
        <v>33</v>
      </c>
      <c r="E169" s="33">
        <v>291.5</v>
      </c>
      <c r="F169" s="33"/>
      <c r="G169" s="33"/>
      <c r="H169" s="33">
        <v>808</v>
      </c>
      <c r="I169" s="33">
        <f t="shared" si="10"/>
        <v>808</v>
      </c>
      <c r="J169" s="33" t="e">
        <f>H169/G169*100</f>
        <v>#DIV/0!</v>
      </c>
      <c r="K169" s="33" t="e">
        <f>H169/F169*100</f>
        <v>#DIV/0!</v>
      </c>
      <c r="L169" s="33">
        <f t="shared" si="11"/>
        <v>516.5</v>
      </c>
      <c r="M169" s="33">
        <f t="shared" si="12"/>
        <v>277.1869639794168</v>
      </c>
    </row>
    <row r="170" spans="1:13" ht="267.75" hidden="1">
      <c r="A170" s="114"/>
      <c r="B170" s="115"/>
      <c r="C170" s="23" t="s">
        <v>34</v>
      </c>
      <c r="D170" s="34" t="s">
        <v>35</v>
      </c>
      <c r="E170" s="33"/>
      <c r="F170" s="33"/>
      <c r="G170" s="33"/>
      <c r="H170" s="33"/>
      <c r="I170" s="33">
        <f t="shared" si="10"/>
        <v>0</v>
      </c>
      <c r="J170" s="33" t="e">
        <f>H170/G170*100</f>
        <v>#DIV/0!</v>
      </c>
      <c r="K170" s="33" t="e">
        <f>H170/F170*100</f>
        <v>#DIV/0!</v>
      </c>
      <c r="L170" s="33">
        <f t="shared" si="11"/>
        <v>0</v>
      </c>
      <c r="M170" s="33" t="e">
        <f t="shared" si="12"/>
        <v>#DIV/0!</v>
      </c>
    </row>
    <row r="171" spans="1:13" ht="267.75" hidden="1">
      <c r="A171" s="114"/>
      <c r="B171" s="115"/>
      <c r="C171" s="23" t="s">
        <v>36</v>
      </c>
      <c r="D171" s="34" t="s">
        <v>37</v>
      </c>
      <c r="E171" s="33">
        <v>660.1</v>
      </c>
      <c r="F171" s="33">
        <v>391.9</v>
      </c>
      <c r="G171" s="33">
        <v>200</v>
      </c>
      <c r="H171" s="33">
        <v>237.4</v>
      </c>
      <c r="I171" s="33">
        <f t="shared" si="10"/>
        <v>37.400000000000006</v>
      </c>
      <c r="J171" s="33"/>
      <c r="K171" s="33">
        <f>H171/F171*100</f>
        <v>60.576677723909164</v>
      </c>
      <c r="L171" s="33">
        <f t="shared" si="11"/>
        <v>-422.70000000000005</v>
      </c>
      <c r="M171" s="33">
        <f t="shared" si="12"/>
        <v>35.96424784123617</v>
      </c>
    </row>
    <row r="172" spans="1:13" ht="267.75" hidden="1">
      <c r="A172" s="114"/>
      <c r="B172" s="115"/>
      <c r="C172" s="23" t="s">
        <v>39</v>
      </c>
      <c r="D172" s="34" t="s">
        <v>40</v>
      </c>
      <c r="E172" s="33"/>
      <c r="F172" s="33"/>
      <c r="G172" s="33"/>
      <c r="H172" s="33"/>
      <c r="I172" s="33">
        <f t="shared" si="10"/>
        <v>0</v>
      </c>
      <c r="J172" s="33" t="e">
        <f>H172/G172*100</f>
        <v>#DIV/0!</v>
      </c>
      <c r="K172" s="33" t="e">
        <f>H172/F172*100</f>
        <v>#DIV/0!</v>
      </c>
      <c r="L172" s="33">
        <f t="shared" si="11"/>
        <v>0</v>
      </c>
      <c r="M172" s="33" t="e">
        <f t="shared" si="12"/>
        <v>#DIV/0!</v>
      </c>
    </row>
    <row r="173" spans="1:13" ht="267.75" hidden="1">
      <c r="A173" s="114"/>
      <c r="B173" s="115"/>
      <c r="C173" s="23" t="s">
        <v>41</v>
      </c>
      <c r="D173" s="34" t="s">
        <v>91</v>
      </c>
      <c r="E173" s="33">
        <v>4153.5</v>
      </c>
      <c r="F173" s="33">
        <v>5102</v>
      </c>
      <c r="G173" s="33">
        <f>2271.9+730.3</f>
        <v>3002.2</v>
      </c>
      <c r="H173" s="33">
        <f>2882.6+1052.2</f>
        <v>3934.8</v>
      </c>
      <c r="I173" s="33">
        <f t="shared" si="10"/>
        <v>932.6000000000004</v>
      </c>
      <c r="J173" s="33">
        <f>H173/G173*100</f>
        <v>131.06388648324562</v>
      </c>
      <c r="K173" s="33">
        <f>H173/F173*100</f>
        <v>77.12269698157586</v>
      </c>
      <c r="L173" s="33">
        <f t="shared" si="11"/>
        <v>-218.69999999999982</v>
      </c>
      <c r="M173" s="33">
        <f t="shared" si="12"/>
        <v>94.73456121343446</v>
      </c>
    </row>
    <row r="174" spans="1:13" ht="267.75" hidden="1">
      <c r="A174" s="114"/>
      <c r="B174" s="115"/>
      <c r="C174" s="23" t="s">
        <v>59</v>
      </c>
      <c r="D174" s="36" t="s">
        <v>60</v>
      </c>
      <c r="E174" s="33">
        <v>11513.1</v>
      </c>
      <c r="F174" s="33"/>
      <c r="G174" s="33"/>
      <c r="H174" s="33"/>
      <c r="I174" s="33">
        <f t="shared" si="10"/>
        <v>0</v>
      </c>
      <c r="J174" s="33"/>
      <c r="K174" s="33"/>
      <c r="L174" s="33">
        <f t="shared" si="11"/>
        <v>-11513.1</v>
      </c>
      <c r="M174" s="33">
        <f t="shared" si="12"/>
        <v>0</v>
      </c>
    </row>
    <row r="175" spans="1:13" ht="267.75" hidden="1">
      <c r="A175" s="114"/>
      <c r="B175" s="115"/>
      <c r="C175" s="23" t="s">
        <v>43</v>
      </c>
      <c r="D175" s="34" t="s">
        <v>38</v>
      </c>
      <c r="E175" s="33">
        <v>-1007.6</v>
      </c>
      <c r="F175" s="33"/>
      <c r="G175" s="33"/>
      <c r="H175" s="33">
        <v>-2047.2</v>
      </c>
      <c r="I175" s="33">
        <f t="shared" si="10"/>
        <v>-2047.2</v>
      </c>
      <c r="J175" s="33"/>
      <c r="K175" s="33"/>
      <c r="L175" s="33">
        <f t="shared" si="11"/>
        <v>-1039.6</v>
      </c>
      <c r="M175" s="33">
        <f t="shared" si="12"/>
        <v>203.17586343787215</v>
      </c>
    </row>
    <row r="176" spans="1:14" ht="31.5" hidden="1">
      <c r="A176" s="114"/>
      <c r="B176" s="115"/>
      <c r="C176" s="25"/>
      <c r="D176" s="3" t="s">
        <v>48</v>
      </c>
      <c r="E176" s="4">
        <f>E177-E175</f>
        <v>17112.8</v>
      </c>
      <c r="F176" s="4">
        <f>F177-F175</f>
        <v>5493.9</v>
      </c>
      <c r="G176" s="4">
        <f>G177-G175</f>
        <v>3202.2</v>
      </c>
      <c r="H176" s="4">
        <f>H177-H175</f>
        <v>5060</v>
      </c>
      <c r="I176" s="4">
        <f t="shared" si="10"/>
        <v>1857.8000000000002</v>
      </c>
      <c r="J176" s="4">
        <f>H176/G176*100</f>
        <v>158.01636374992194</v>
      </c>
      <c r="K176" s="4">
        <f>H176/F176*100</f>
        <v>92.1021496568922</v>
      </c>
      <c r="L176" s="4">
        <f t="shared" si="11"/>
        <v>-12052.8</v>
      </c>
      <c r="M176" s="4">
        <f t="shared" si="12"/>
        <v>29.568510121078962</v>
      </c>
      <c r="N176" s="5"/>
    </row>
    <row r="177" spans="1:14" ht="15.75" hidden="1">
      <c r="A177" s="114"/>
      <c r="B177" s="115"/>
      <c r="C177" s="31"/>
      <c r="D177" s="3" t="s">
        <v>67</v>
      </c>
      <c r="E177" s="8">
        <f>SUM(E166:E168,E170:E175)</f>
        <v>16105.199999999999</v>
      </c>
      <c r="F177" s="8">
        <f>SUM(F166:F168,F170:F175)</f>
        <v>5493.9</v>
      </c>
      <c r="G177" s="8">
        <f>SUM(G166:G168,G170:G175)</f>
        <v>3202.2</v>
      </c>
      <c r="H177" s="8">
        <f>SUM(H166:H168,H170:H175)</f>
        <v>3012.8</v>
      </c>
      <c r="I177" s="8">
        <f t="shared" si="10"/>
        <v>-189.39999999999964</v>
      </c>
      <c r="J177" s="8">
        <f>H177/G177*100</f>
        <v>94.08531634501281</v>
      </c>
      <c r="K177" s="8">
        <f>H177/F177*100</f>
        <v>54.83900325815906</v>
      </c>
      <c r="L177" s="8">
        <f t="shared" si="11"/>
        <v>-13092.399999999998</v>
      </c>
      <c r="M177" s="8">
        <f t="shared" si="12"/>
        <v>18.707001465365224</v>
      </c>
      <c r="N177" s="5"/>
    </row>
    <row r="178" spans="1:13" ht="267.75" hidden="1">
      <c r="A178" s="110" t="s">
        <v>105</v>
      </c>
      <c r="B178" s="111" t="s">
        <v>106</v>
      </c>
      <c r="C178" s="23" t="s">
        <v>20</v>
      </c>
      <c r="D178" s="47" t="s">
        <v>21</v>
      </c>
      <c r="E178" s="33">
        <v>39.9</v>
      </c>
      <c r="F178" s="33"/>
      <c r="G178" s="33"/>
      <c r="H178" s="33">
        <v>83.8</v>
      </c>
      <c r="I178" s="33">
        <f t="shared" si="10"/>
        <v>83.8</v>
      </c>
      <c r="J178" s="33"/>
      <c r="K178" s="33"/>
      <c r="L178" s="33">
        <f t="shared" si="11"/>
        <v>43.9</v>
      </c>
      <c r="M178" s="33">
        <f t="shared" si="12"/>
        <v>210.0250626566416</v>
      </c>
    </row>
    <row r="179" spans="1:13" ht="267.75" hidden="1">
      <c r="A179" s="110"/>
      <c r="B179" s="111"/>
      <c r="C179" s="23" t="s">
        <v>101</v>
      </c>
      <c r="D179" s="34" t="s">
        <v>102</v>
      </c>
      <c r="E179" s="33"/>
      <c r="F179" s="33"/>
      <c r="G179" s="33"/>
      <c r="H179" s="33"/>
      <c r="I179" s="33">
        <f t="shared" si="10"/>
        <v>0</v>
      </c>
      <c r="J179" s="33"/>
      <c r="K179" s="33"/>
      <c r="L179" s="33">
        <f t="shared" si="11"/>
        <v>0</v>
      </c>
      <c r="M179" s="33" t="e">
        <f t="shared" si="12"/>
        <v>#DIV/0!</v>
      </c>
    </row>
    <row r="180" spans="1:13" ht="267.75" hidden="1">
      <c r="A180" s="114"/>
      <c r="B180" s="115"/>
      <c r="C180" s="23" t="s">
        <v>28</v>
      </c>
      <c r="D180" s="34" t="s">
        <v>29</v>
      </c>
      <c r="E180" s="33">
        <f>SUM(E181:E182)</f>
        <v>88.4</v>
      </c>
      <c r="F180" s="33">
        <f>SUM(F181:F182)</f>
        <v>0</v>
      </c>
      <c r="G180" s="33">
        <f>SUM(G181:G182)</f>
        <v>0</v>
      </c>
      <c r="H180" s="33">
        <f>SUM(H181:H182)</f>
        <v>12.4</v>
      </c>
      <c r="I180" s="33">
        <f t="shared" si="10"/>
        <v>12.4</v>
      </c>
      <c r="J180" s="33"/>
      <c r="K180" s="33"/>
      <c r="L180" s="33">
        <f t="shared" si="11"/>
        <v>-76</v>
      </c>
      <c r="M180" s="33">
        <f t="shared" si="12"/>
        <v>14.027149321266968</v>
      </c>
    </row>
    <row r="181" spans="1:13" ht="63" hidden="1">
      <c r="A181" s="114"/>
      <c r="B181" s="115"/>
      <c r="C181" s="22" t="s">
        <v>30</v>
      </c>
      <c r="D181" s="49" t="s">
        <v>31</v>
      </c>
      <c r="E181" s="33"/>
      <c r="F181" s="33"/>
      <c r="G181" s="33"/>
      <c r="H181" s="33"/>
      <c r="I181" s="33">
        <f t="shared" si="10"/>
        <v>0</v>
      </c>
      <c r="J181" s="33" t="e">
        <f>H181/G181*100</f>
        <v>#DIV/0!</v>
      </c>
      <c r="K181" s="33" t="e">
        <f aca="true" t="shared" si="13" ref="K181:K186">H181/F181*100</f>
        <v>#DIV/0!</v>
      </c>
      <c r="L181" s="33">
        <f t="shared" si="11"/>
        <v>0</v>
      </c>
      <c r="M181" s="33" t="e">
        <f t="shared" si="12"/>
        <v>#DIV/0!</v>
      </c>
    </row>
    <row r="182" spans="1:13" ht="47.25" hidden="1">
      <c r="A182" s="114"/>
      <c r="B182" s="115"/>
      <c r="C182" s="22" t="s">
        <v>32</v>
      </c>
      <c r="D182" s="36" t="s">
        <v>33</v>
      </c>
      <c r="E182" s="33">
        <v>88.4</v>
      </c>
      <c r="F182" s="33"/>
      <c r="G182" s="33"/>
      <c r="H182" s="33">
        <v>12.4</v>
      </c>
      <c r="I182" s="33">
        <f t="shared" si="10"/>
        <v>12.4</v>
      </c>
      <c r="J182" s="33" t="e">
        <f>H182/G182*100</f>
        <v>#DIV/0!</v>
      </c>
      <c r="K182" s="33" t="e">
        <f t="shared" si="13"/>
        <v>#DIV/0!</v>
      </c>
      <c r="L182" s="33">
        <f t="shared" si="11"/>
        <v>-76</v>
      </c>
      <c r="M182" s="33">
        <f t="shared" si="12"/>
        <v>14.027149321266968</v>
      </c>
    </row>
    <row r="183" spans="1:13" ht="267.75" hidden="1">
      <c r="A183" s="114"/>
      <c r="B183" s="115"/>
      <c r="C183" s="23" t="s">
        <v>34</v>
      </c>
      <c r="D183" s="34" t="s">
        <v>35</v>
      </c>
      <c r="E183" s="33"/>
      <c r="F183" s="33"/>
      <c r="G183" s="33"/>
      <c r="H183" s="33"/>
      <c r="I183" s="33">
        <f t="shared" si="10"/>
        <v>0</v>
      </c>
      <c r="J183" s="33" t="e">
        <f>H183/G183*100</f>
        <v>#DIV/0!</v>
      </c>
      <c r="K183" s="33" t="e">
        <f t="shared" si="13"/>
        <v>#DIV/0!</v>
      </c>
      <c r="L183" s="33">
        <f t="shared" si="11"/>
        <v>0</v>
      </c>
      <c r="M183" s="33" t="e">
        <f t="shared" si="12"/>
        <v>#DIV/0!</v>
      </c>
    </row>
    <row r="184" spans="1:13" ht="267.75" hidden="1">
      <c r="A184" s="114"/>
      <c r="B184" s="115"/>
      <c r="C184" s="23" t="s">
        <v>36</v>
      </c>
      <c r="D184" s="34" t="s">
        <v>37</v>
      </c>
      <c r="E184" s="33">
        <v>1148.1</v>
      </c>
      <c r="F184" s="33">
        <v>186.9</v>
      </c>
      <c r="G184" s="33">
        <f>186-186</f>
        <v>0</v>
      </c>
      <c r="H184" s="33">
        <v>34.2</v>
      </c>
      <c r="I184" s="33">
        <f t="shared" si="10"/>
        <v>34.2</v>
      </c>
      <c r="J184" s="33"/>
      <c r="K184" s="33">
        <f t="shared" si="13"/>
        <v>18.298555377207062</v>
      </c>
      <c r="L184" s="33">
        <f t="shared" si="11"/>
        <v>-1113.8999999999999</v>
      </c>
      <c r="M184" s="33">
        <f t="shared" si="12"/>
        <v>2.978834596289522</v>
      </c>
    </row>
    <row r="185" spans="1:13" ht="267.75" hidden="1">
      <c r="A185" s="114"/>
      <c r="B185" s="115"/>
      <c r="C185" s="23" t="s">
        <v>39</v>
      </c>
      <c r="D185" s="34" t="s">
        <v>40</v>
      </c>
      <c r="E185" s="33"/>
      <c r="F185" s="33"/>
      <c r="G185" s="33"/>
      <c r="H185" s="33"/>
      <c r="I185" s="33">
        <f t="shared" si="10"/>
        <v>0</v>
      </c>
      <c r="J185" s="33" t="e">
        <f>H185/G185*100</f>
        <v>#DIV/0!</v>
      </c>
      <c r="K185" s="33" t="e">
        <f t="shared" si="13"/>
        <v>#DIV/0!</v>
      </c>
      <c r="L185" s="33">
        <f t="shared" si="11"/>
        <v>0</v>
      </c>
      <c r="M185" s="33" t="e">
        <f t="shared" si="12"/>
        <v>#DIV/0!</v>
      </c>
    </row>
    <row r="186" spans="1:13" ht="267.75" hidden="1">
      <c r="A186" s="114"/>
      <c r="B186" s="115"/>
      <c r="C186" s="23" t="s">
        <v>41</v>
      </c>
      <c r="D186" s="34" t="s">
        <v>91</v>
      </c>
      <c r="E186" s="33">
        <v>3232.9</v>
      </c>
      <c r="F186" s="33">
        <v>4252</v>
      </c>
      <c r="G186" s="33">
        <f>1667.4+730.3</f>
        <v>2397.7</v>
      </c>
      <c r="H186" s="33">
        <f>2104.3+923.8</f>
        <v>3028.1000000000004</v>
      </c>
      <c r="I186" s="33">
        <f t="shared" si="10"/>
        <v>630.4000000000005</v>
      </c>
      <c r="J186" s="33">
        <f>H186/G186*100</f>
        <v>126.29186303540895</v>
      </c>
      <c r="K186" s="33">
        <f t="shared" si="13"/>
        <v>71.2158984007526</v>
      </c>
      <c r="L186" s="33">
        <f t="shared" si="11"/>
        <v>-204.79999999999973</v>
      </c>
      <c r="M186" s="33">
        <f t="shared" si="12"/>
        <v>93.66513037829813</v>
      </c>
    </row>
    <row r="187" spans="1:13" ht="267.75" hidden="1">
      <c r="A187" s="114"/>
      <c r="B187" s="115"/>
      <c r="C187" s="23" t="s">
        <v>59</v>
      </c>
      <c r="D187" s="36" t="s">
        <v>60</v>
      </c>
      <c r="E187" s="33">
        <v>10285.6</v>
      </c>
      <c r="F187" s="33"/>
      <c r="G187" s="33"/>
      <c r="H187" s="33"/>
      <c r="I187" s="33">
        <f t="shared" si="10"/>
        <v>0</v>
      </c>
      <c r="J187" s="33"/>
      <c r="K187" s="33"/>
      <c r="L187" s="33">
        <f t="shared" si="11"/>
        <v>-10285.6</v>
      </c>
      <c r="M187" s="33">
        <f t="shared" si="12"/>
        <v>0</v>
      </c>
    </row>
    <row r="188" spans="1:13" ht="267.75" hidden="1">
      <c r="A188" s="114"/>
      <c r="B188" s="115"/>
      <c r="C188" s="23" t="s">
        <v>43</v>
      </c>
      <c r="D188" s="34" t="s">
        <v>38</v>
      </c>
      <c r="E188" s="33">
        <v>-454.8</v>
      </c>
      <c r="F188" s="33"/>
      <c r="G188" s="33"/>
      <c r="H188" s="33">
        <v>-293.1</v>
      </c>
      <c r="I188" s="33">
        <f t="shared" si="10"/>
        <v>-293.1</v>
      </c>
      <c r="J188" s="33"/>
      <c r="K188" s="33"/>
      <c r="L188" s="33">
        <f t="shared" si="11"/>
        <v>161.7</v>
      </c>
      <c r="M188" s="33">
        <f t="shared" si="12"/>
        <v>64.44591029023748</v>
      </c>
    </row>
    <row r="189" spans="1:14" ht="31.5" hidden="1">
      <c r="A189" s="114"/>
      <c r="B189" s="115"/>
      <c r="C189" s="25"/>
      <c r="D189" s="3" t="s">
        <v>48</v>
      </c>
      <c r="E189" s="4">
        <f>E190-E188</f>
        <v>14794.900000000001</v>
      </c>
      <c r="F189" s="4">
        <f>F190-F188</f>
        <v>4438.9</v>
      </c>
      <c r="G189" s="4">
        <f>G190-G188</f>
        <v>2397.7</v>
      </c>
      <c r="H189" s="4">
        <f>H190-H188</f>
        <v>3158.5000000000005</v>
      </c>
      <c r="I189" s="4">
        <f t="shared" si="10"/>
        <v>760.8000000000006</v>
      </c>
      <c r="J189" s="4">
        <f>H189/G189*100</f>
        <v>131.73040830796182</v>
      </c>
      <c r="K189" s="4">
        <f>H189/F189*100</f>
        <v>71.1550158823132</v>
      </c>
      <c r="L189" s="4">
        <f t="shared" si="11"/>
        <v>-11636.400000000001</v>
      </c>
      <c r="M189" s="4">
        <f t="shared" si="12"/>
        <v>21.348572819011956</v>
      </c>
      <c r="N189" s="5"/>
    </row>
    <row r="190" spans="1:14" ht="15.75" hidden="1">
      <c r="A190" s="114"/>
      <c r="B190" s="115"/>
      <c r="C190" s="31"/>
      <c r="D190" s="3" t="s">
        <v>67</v>
      </c>
      <c r="E190" s="8">
        <f>SUM(E178:E180,E183:E188)</f>
        <v>14340.100000000002</v>
      </c>
      <c r="F190" s="8">
        <f>SUM(F178:F180,F183:F188)</f>
        <v>4438.9</v>
      </c>
      <c r="G190" s="8">
        <f>SUM(G178:G180,G183:G188)</f>
        <v>2397.7</v>
      </c>
      <c r="H190" s="8">
        <f>SUM(H178:H180,H183:H188)</f>
        <v>2865.4000000000005</v>
      </c>
      <c r="I190" s="8">
        <f t="shared" si="10"/>
        <v>467.7000000000007</v>
      </c>
      <c r="J190" s="8">
        <f>H190/G190*100</f>
        <v>119.50619343537561</v>
      </c>
      <c r="K190" s="8">
        <f>H190/F190*100</f>
        <v>64.55202865574806</v>
      </c>
      <c r="L190" s="8">
        <f t="shared" si="11"/>
        <v>-11474.7</v>
      </c>
      <c r="M190" s="8">
        <f t="shared" si="12"/>
        <v>19.9817295555819</v>
      </c>
      <c r="N190" s="5"/>
    </row>
    <row r="191" spans="1:13" ht="267.75" hidden="1">
      <c r="A191" s="110" t="s">
        <v>107</v>
      </c>
      <c r="B191" s="111" t="s">
        <v>108</v>
      </c>
      <c r="C191" s="23" t="s">
        <v>20</v>
      </c>
      <c r="D191" s="47" t="s">
        <v>21</v>
      </c>
      <c r="E191" s="33"/>
      <c r="F191" s="33"/>
      <c r="G191" s="33"/>
      <c r="H191" s="33">
        <v>187.5</v>
      </c>
      <c r="I191" s="33">
        <f t="shared" si="10"/>
        <v>187.5</v>
      </c>
      <c r="J191" s="33"/>
      <c r="K191" s="33"/>
      <c r="L191" s="33">
        <f t="shared" si="11"/>
        <v>187.5</v>
      </c>
      <c r="M191" s="33"/>
    </row>
    <row r="192" spans="1:13" ht="267.75" hidden="1">
      <c r="A192" s="110"/>
      <c r="B192" s="111"/>
      <c r="C192" s="23" t="s">
        <v>101</v>
      </c>
      <c r="D192" s="34" t="s">
        <v>102</v>
      </c>
      <c r="E192" s="33"/>
      <c r="F192" s="33"/>
      <c r="G192" s="33"/>
      <c r="H192" s="33"/>
      <c r="I192" s="33">
        <f t="shared" si="10"/>
        <v>0</v>
      </c>
      <c r="J192" s="33"/>
      <c r="K192" s="33"/>
      <c r="L192" s="33">
        <f t="shared" si="11"/>
        <v>0</v>
      </c>
      <c r="M192" s="33" t="e">
        <f t="shared" si="12"/>
        <v>#DIV/0!</v>
      </c>
    </row>
    <row r="193" spans="1:13" ht="267.75" hidden="1">
      <c r="A193" s="114"/>
      <c r="B193" s="115"/>
      <c r="C193" s="23" t="s">
        <v>28</v>
      </c>
      <c r="D193" s="34" t="s">
        <v>29</v>
      </c>
      <c r="E193" s="33">
        <f>E194</f>
        <v>0</v>
      </c>
      <c r="F193" s="33">
        <f>F194</f>
        <v>0</v>
      </c>
      <c r="G193" s="33">
        <f>G194</f>
        <v>0</v>
      </c>
      <c r="H193" s="33">
        <f>H194</f>
        <v>0</v>
      </c>
      <c r="I193" s="33">
        <f t="shared" si="10"/>
        <v>0</v>
      </c>
      <c r="J193" s="33"/>
      <c r="K193" s="33"/>
      <c r="L193" s="33">
        <f t="shared" si="11"/>
        <v>0</v>
      </c>
      <c r="M193" s="33" t="e">
        <f t="shared" si="12"/>
        <v>#DIV/0!</v>
      </c>
    </row>
    <row r="194" spans="1:13" ht="47.25" hidden="1">
      <c r="A194" s="114"/>
      <c r="B194" s="115"/>
      <c r="C194" s="22" t="s">
        <v>32</v>
      </c>
      <c r="D194" s="36" t="s">
        <v>33</v>
      </c>
      <c r="E194" s="33"/>
      <c r="F194" s="33"/>
      <c r="G194" s="33"/>
      <c r="H194" s="33"/>
      <c r="I194" s="33">
        <f t="shared" si="10"/>
        <v>0</v>
      </c>
      <c r="J194" s="33"/>
      <c r="K194" s="33"/>
      <c r="L194" s="33">
        <f t="shared" si="11"/>
        <v>0</v>
      </c>
      <c r="M194" s="33" t="e">
        <f t="shared" si="12"/>
        <v>#DIV/0!</v>
      </c>
    </row>
    <row r="195" spans="1:13" ht="267.75" hidden="1">
      <c r="A195" s="114"/>
      <c r="B195" s="115"/>
      <c r="C195" s="23" t="s">
        <v>34</v>
      </c>
      <c r="D195" s="34" t="s">
        <v>35</v>
      </c>
      <c r="E195" s="33">
        <v>135.1</v>
      </c>
      <c r="F195" s="33"/>
      <c r="G195" s="33"/>
      <c r="H195" s="33">
        <v>5.3</v>
      </c>
      <c r="I195" s="33">
        <f t="shared" si="10"/>
        <v>5.3</v>
      </c>
      <c r="J195" s="33"/>
      <c r="K195" s="33"/>
      <c r="L195" s="33">
        <f t="shared" si="11"/>
        <v>-129.79999999999998</v>
      </c>
      <c r="M195" s="33">
        <f t="shared" si="12"/>
        <v>3.923019985196151</v>
      </c>
    </row>
    <row r="196" spans="1:13" ht="267.75" hidden="1">
      <c r="A196" s="114"/>
      <c r="B196" s="115"/>
      <c r="C196" s="23" t="s">
        <v>36</v>
      </c>
      <c r="D196" s="34" t="s">
        <v>37</v>
      </c>
      <c r="E196" s="33">
        <v>518.4</v>
      </c>
      <c r="F196" s="33">
        <v>1117.1</v>
      </c>
      <c r="G196" s="33">
        <f>500-415.8</f>
        <v>84.19999999999999</v>
      </c>
      <c r="H196" s="33">
        <v>84.2</v>
      </c>
      <c r="I196" s="33">
        <f t="shared" si="10"/>
        <v>0</v>
      </c>
      <c r="J196" s="33">
        <f>H196/G196*100</f>
        <v>100.00000000000003</v>
      </c>
      <c r="K196" s="33">
        <f>H196/F196*100</f>
        <v>7.537373556530302</v>
      </c>
      <c r="L196" s="33">
        <f t="shared" si="11"/>
        <v>-434.2</v>
      </c>
      <c r="M196" s="33">
        <f t="shared" si="12"/>
        <v>16.242283950617285</v>
      </c>
    </row>
    <row r="197" spans="1:13" ht="267.75" hidden="1">
      <c r="A197" s="114"/>
      <c r="B197" s="115"/>
      <c r="C197" s="23" t="s">
        <v>39</v>
      </c>
      <c r="D197" s="34" t="s">
        <v>40</v>
      </c>
      <c r="E197" s="33"/>
      <c r="F197" s="33"/>
      <c r="G197" s="33"/>
      <c r="H197" s="33"/>
      <c r="I197" s="33">
        <f t="shared" si="10"/>
        <v>0</v>
      </c>
      <c r="J197" s="33" t="e">
        <f>H197/G197*100</f>
        <v>#DIV/0!</v>
      </c>
      <c r="K197" s="33" t="e">
        <f>H197/F197*100</f>
        <v>#DIV/0!</v>
      </c>
      <c r="L197" s="33">
        <f t="shared" si="11"/>
        <v>0</v>
      </c>
      <c r="M197" s="33" t="e">
        <f t="shared" si="12"/>
        <v>#DIV/0!</v>
      </c>
    </row>
    <row r="198" spans="1:13" ht="267.75" hidden="1">
      <c r="A198" s="114"/>
      <c r="B198" s="115"/>
      <c r="C198" s="23" t="s">
        <v>41</v>
      </c>
      <c r="D198" s="34" t="s">
        <v>91</v>
      </c>
      <c r="E198" s="33">
        <v>3328.2</v>
      </c>
      <c r="F198" s="33">
        <v>4100</v>
      </c>
      <c r="G198" s="33">
        <f>1683.5+641.7</f>
        <v>2325.2</v>
      </c>
      <c r="H198" s="33">
        <f>2165+867.2</f>
        <v>3032.2</v>
      </c>
      <c r="I198" s="33">
        <f t="shared" si="10"/>
        <v>707</v>
      </c>
      <c r="J198" s="33">
        <f>H198/G198*100</f>
        <v>130.40598658179943</v>
      </c>
      <c r="K198" s="33">
        <f>H198/F198*100</f>
        <v>73.9560975609756</v>
      </c>
      <c r="L198" s="33">
        <f t="shared" si="11"/>
        <v>-296</v>
      </c>
      <c r="M198" s="33">
        <f t="shared" si="12"/>
        <v>91.10630370770987</v>
      </c>
    </row>
    <row r="199" spans="1:13" ht="267.75" hidden="1">
      <c r="A199" s="114"/>
      <c r="B199" s="115"/>
      <c r="C199" s="23" t="s">
        <v>59</v>
      </c>
      <c r="D199" s="36" t="s">
        <v>60</v>
      </c>
      <c r="E199" s="33">
        <v>9841.6</v>
      </c>
      <c r="F199" s="33"/>
      <c r="G199" s="33"/>
      <c r="H199" s="33"/>
      <c r="I199" s="33">
        <f t="shared" si="10"/>
        <v>0</v>
      </c>
      <c r="J199" s="33"/>
      <c r="K199" s="33"/>
      <c r="L199" s="33">
        <f t="shared" si="11"/>
        <v>-9841.6</v>
      </c>
      <c r="M199" s="33">
        <f t="shared" si="12"/>
        <v>0</v>
      </c>
    </row>
    <row r="200" spans="1:13" ht="267.75" hidden="1">
      <c r="A200" s="114"/>
      <c r="B200" s="115"/>
      <c r="C200" s="23" t="s">
        <v>43</v>
      </c>
      <c r="D200" s="34" t="s">
        <v>38</v>
      </c>
      <c r="E200" s="33">
        <v>-731.7</v>
      </c>
      <c r="F200" s="33"/>
      <c r="G200" s="33"/>
      <c r="H200" s="33">
        <v>-475.5</v>
      </c>
      <c r="I200" s="33">
        <f t="shared" si="10"/>
        <v>-475.5</v>
      </c>
      <c r="J200" s="33"/>
      <c r="K200" s="33"/>
      <c r="L200" s="33">
        <f t="shared" si="11"/>
        <v>256.20000000000005</v>
      </c>
      <c r="M200" s="33">
        <f t="shared" si="12"/>
        <v>64.98564985649857</v>
      </c>
    </row>
    <row r="201" spans="1:14" ht="31.5" hidden="1">
      <c r="A201" s="114"/>
      <c r="B201" s="115"/>
      <c r="C201" s="25"/>
      <c r="D201" s="3" t="s">
        <v>48</v>
      </c>
      <c r="E201" s="4">
        <f>E202-E200</f>
        <v>13823.3</v>
      </c>
      <c r="F201" s="4">
        <f>F202-F200</f>
        <v>5217.1</v>
      </c>
      <c r="G201" s="4">
        <f>G202-G200</f>
        <v>2409.3999999999996</v>
      </c>
      <c r="H201" s="4">
        <f>H202-H200</f>
        <v>3309.2</v>
      </c>
      <c r="I201" s="4">
        <f aca="true" t="shared" si="14" ref="I201:I265">H201-G201</f>
        <v>899.8000000000002</v>
      </c>
      <c r="J201" s="4">
        <f>H201/G201*100</f>
        <v>137.34539719432226</v>
      </c>
      <c r="K201" s="4">
        <f>H201/F201*100</f>
        <v>63.42987483467826</v>
      </c>
      <c r="L201" s="4">
        <f aca="true" t="shared" si="15" ref="L201:L265">H201-E201</f>
        <v>-10514.099999999999</v>
      </c>
      <c r="M201" s="4">
        <f aca="true" t="shared" si="16" ref="M201:M265">H201/E201*100</f>
        <v>23.939290907381018</v>
      </c>
      <c r="N201" s="5"/>
    </row>
    <row r="202" spans="1:14" ht="15.75" hidden="1">
      <c r="A202" s="114"/>
      <c r="B202" s="115"/>
      <c r="C202" s="31"/>
      <c r="D202" s="3" t="s">
        <v>67</v>
      </c>
      <c r="E202" s="8">
        <f>SUM(E191:E193,E195:E200)</f>
        <v>13091.599999999999</v>
      </c>
      <c r="F202" s="8">
        <f>SUM(F191:F193,F195:F200)</f>
        <v>5217.1</v>
      </c>
      <c r="G202" s="8">
        <f>SUM(G191:G193,G195:G200)</f>
        <v>2409.3999999999996</v>
      </c>
      <c r="H202" s="8">
        <f>SUM(H191:H193,H195:H200)</f>
        <v>2833.7</v>
      </c>
      <c r="I202" s="8">
        <f t="shared" si="14"/>
        <v>424.3000000000002</v>
      </c>
      <c r="J202" s="8">
        <f>H202/G202*100</f>
        <v>117.61019340914751</v>
      </c>
      <c r="K202" s="8">
        <f>H202/F202*100</f>
        <v>54.31561595522416</v>
      </c>
      <c r="L202" s="8">
        <f t="shared" si="15"/>
        <v>-10257.899999999998</v>
      </c>
      <c r="M202" s="8">
        <f t="shared" si="16"/>
        <v>21.645177060099606</v>
      </c>
      <c r="N202" s="5"/>
    </row>
    <row r="203" spans="1:13" ht="267.75" hidden="1">
      <c r="A203" s="103">
        <v>936</v>
      </c>
      <c r="B203" s="103" t="s">
        <v>109</v>
      </c>
      <c r="C203" s="23" t="s">
        <v>20</v>
      </c>
      <c r="D203" s="34"/>
      <c r="E203" s="52"/>
      <c r="F203" s="52"/>
      <c r="G203" s="52"/>
      <c r="H203" s="52">
        <v>13.7</v>
      </c>
      <c r="I203" s="52"/>
      <c r="J203" s="52"/>
      <c r="K203" s="52"/>
      <c r="L203" s="52"/>
      <c r="M203" s="52"/>
    </row>
    <row r="204" spans="1:14" ht="267.75" hidden="1">
      <c r="A204" s="106"/>
      <c r="B204" s="106"/>
      <c r="C204" s="23" t="s">
        <v>28</v>
      </c>
      <c r="D204" s="34" t="s">
        <v>29</v>
      </c>
      <c r="E204" s="33">
        <f>E205</f>
        <v>0</v>
      </c>
      <c r="F204" s="33">
        <f>F205</f>
        <v>0</v>
      </c>
      <c r="G204" s="33">
        <f>G205</f>
        <v>0</v>
      </c>
      <c r="H204" s="33">
        <f>H205</f>
        <v>56.7</v>
      </c>
      <c r="I204" s="33">
        <f t="shared" si="14"/>
        <v>56.7</v>
      </c>
      <c r="J204" s="33"/>
      <c r="K204" s="33"/>
      <c r="L204" s="33">
        <f t="shared" si="15"/>
        <v>56.7</v>
      </c>
      <c r="M204" s="33"/>
      <c r="N204" s="5"/>
    </row>
    <row r="205" spans="1:14" ht="47.25" hidden="1">
      <c r="A205" s="106"/>
      <c r="B205" s="106"/>
      <c r="C205" s="22" t="s">
        <v>32</v>
      </c>
      <c r="D205" s="36" t="s">
        <v>33</v>
      </c>
      <c r="E205" s="33"/>
      <c r="F205" s="33"/>
      <c r="G205" s="33"/>
      <c r="H205" s="33">
        <v>56.7</v>
      </c>
      <c r="I205" s="33">
        <f t="shared" si="14"/>
        <v>56.7</v>
      </c>
      <c r="J205" s="33" t="e">
        <f>H205/G205*100</f>
        <v>#DIV/0!</v>
      </c>
      <c r="K205" s="33" t="e">
        <f>H205/F205*100</f>
        <v>#DIV/0!</v>
      </c>
      <c r="L205" s="33">
        <f t="shared" si="15"/>
        <v>56.7</v>
      </c>
      <c r="M205" s="33" t="e">
        <f t="shared" si="16"/>
        <v>#DIV/0!</v>
      </c>
      <c r="N205" s="5"/>
    </row>
    <row r="206" spans="1:13" ht="267.75" hidden="1">
      <c r="A206" s="106"/>
      <c r="B206" s="106"/>
      <c r="C206" s="23" t="s">
        <v>34</v>
      </c>
      <c r="D206" s="34" t="s">
        <v>35</v>
      </c>
      <c r="E206" s="33">
        <v>0.3</v>
      </c>
      <c r="F206" s="33"/>
      <c r="G206" s="33"/>
      <c r="H206" s="33"/>
      <c r="I206" s="33">
        <f t="shared" si="14"/>
        <v>0</v>
      </c>
      <c r="J206" s="33"/>
      <c r="K206" s="33"/>
      <c r="L206" s="33">
        <f t="shared" si="15"/>
        <v>-0.3</v>
      </c>
      <c r="M206" s="33">
        <f t="shared" si="16"/>
        <v>0</v>
      </c>
    </row>
    <row r="207" spans="1:13" ht="267.75" hidden="1">
      <c r="A207" s="106"/>
      <c r="B207" s="106"/>
      <c r="C207" s="23" t="s">
        <v>36</v>
      </c>
      <c r="D207" s="34" t="s">
        <v>37</v>
      </c>
      <c r="E207" s="33">
        <v>189.3</v>
      </c>
      <c r="F207" s="33">
        <v>50</v>
      </c>
      <c r="G207" s="33">
        <v>50</v>
      </c>
      <c r="H207" s="33">
        <v>91.8</v>
      </c>
      <c r="I207" s="33">
        <f t="shared" si="14"/>
        <v>41.8</v>
      </c>
      <c r="J207" s="33">
        <f>H207/G207*100</f>
        <v>183.6</v>
      </c>
      <c r="K207" s="33">
        <f>H207/F207*100</f>
        <v>183.6</v>
      </c>
      <c r="L207" s="33">
        <f t="shared" si="15"/>
        <v>-97.50000000000001</v>
      </c>
      <c r="M207" s="33">
        <f t="shared" si="16"/>
        <v>48.4944532488114</v>
      </c>
    </row>
    <row r="208" spans="1:13" ht="267.75" hidden="1">
      <c r="A208" s="106"/>
      <c r="B208" s="106"/>
      <c r="C208" s="23" t="s">
        <v>39</v>
      </c>
      <c r="D208" s="34" t="s">
        <v>40</v>
      </c>
      <c r="E208" s="33"/>
      <c r="F208" s="33">
        <v>600</v>
      </c>
      <c r="G208" s="33">
        <v>600</v>
      </c>
      <c r="H208" s="33">
        <v>600</v>
      </c>
      <c r="I208" s="33">
        <f t="shared" si="14"/>
        <v>0</v>
      </c>
      <c r="J208" s="33">
        <f>H208/G208*100</f>
        <v>100</v>
      </c>
      <c r="K208" s="33">
        <f>H208/F208*100</f>
        <v>100</v>
      </c>
      <c r="L208" s="33">
        <f t="shared" si="15"/>
        <v>600</v>
      </c>
      <c r="M208" s="33"/>
    </row>
    <row r="209" spans="1:13" ht="267.75" hidden="1">
      <c r="A209" s="106"/>
      <c r="B209" s="106"/>
      <c r="C209" s="23" t="s">
        <v>41</v>
      </c>
      <c r="D209" s="34" t="s">
        <v>91</v>
      </c>
      <c r="E209" s="33">
        <v>2743.8</v>
      </c>
      <c r="F209" s="33">
        <v>3800</v>
      </c>
      <c r="G209" s="33">
        <f>1414.2+641.7</f>
        <v>2055.9</v>
      </c>
      <c r="H209" s="33">
        <f>1930.1+694.8</f>
        <v>2624.8999999999996</v>
      </c>
      <c r="I209" s="33">
        <f t="shared" si="14"/>
        <v>568.9999999999995</v>
      </c>
      <c r="J209" s="33">
        <f>H209/G209*100</f>
        <v>127.67644340678046</v>
      </c>
      <c r="K209" s="33">
        <f>H209/F209*100</f>
        <v>69.07631578947367</v>
      </c>
      <c r="L209" s="33">
        <f t="shared" si="15"/>
        <v>-118.90000000000055</v>
      </c>
      <c r="M209" s="33">
        <f t="shared" si="16"/>
        <v>95.66659377505647</v>
      </c>
    </row>
    <row r="210" spans="1:13" ht="267.75" hidden="1">
      <c r="A210" s="106"/>
      <c r="B210" s="106"/>
      <c r="C210" s="23" t="s">
        <v>59</v>
      </c>
      <c r="D210" s="36" t="s">
        <v>60</v>
      </c>
      <c r="E210" s="33">
        <v>8466.3</v>
      </c>
      <c r="F210" s="33"/>
      <c r="G210" s="33"/>
      <c r="H210" s="33"/>
      <c r="I210" s="33">
        <f t="shared" si="14"/>
        <v>0</v>
      </c>
      <c r="J210" s="33"/>
      <c r="K210" s="33"/>
      <c r="L210" s="33">
        <f t="shared" si="15"/>
        <v>-8466.3</v>
      </c>
      <c r="M210" s="33">
        <f t="shared" si="16"/>
        <v>0</v>
      </c>
    </row>
    <row r="211" spans="1:13" ht="267.75" hidden="1">
      <c r="A211" s="106"/>
      <c r="B211" s="106"/>
      <c r="C211" s="23" t="s">
        <v>43</v>
      </c>
      <c r="D211" s="34" t="s">
        <v>38</v>
      </c>
      <c r="E211" s="33">
        <v>-658.3</v>
      </c>
      <c r="F211" s="33"/>
      <c r="G211" s="33"/>
      <c r="H211" s="33">
        <v>-273.8</v>
      </c>
      <c r="I211" s="33">
        <f t="shared" si="14"/>
        <v>-273.8</v>
      </c>
      <c r="J211" s="33"/>
      <c r="K211" s="33"/>
      <c r="L211" s="33">
        <f t="shared" si="15"/>
        <v>384.49999999999994</v>
      </c>
      <c r="M211" s="33">
        <f t="shared" si="16"/>
        <v>41.59197934072611</v>
      </c>
    </row>
    <row r="212" spans="1:14" ht="31.5" hidden="1">
      <c r="A212" s="106"/>
      <c r="B212" s="106"/>
      <c r="C212" s="25"/>
      <c r="D212" s="3" t="s">
        <v>48</v>
      </c>
      <c r="E212" s="4">
        <f>E213-E211</f>
        <v>11399.699999999999</v>
      </c>
      <c r="F212" s="4">
        <f>F213-F211</f>
        <v>4450</v>
      </c>
      <c r="G212" s="4">
        <f>G213-G211</f>
        <v>2705.9</v>
      </c>
      <c r="H212" s="4">
        <f>H213-H211</f>
        <v>3387.0999999999995</v>
      </c>
      <c r="I212" s="4">
        <f t="shared" si="14"/>
        <v>681.1999999999994</v>
      </c>
      <c r="J212" s="4">
        <f>H212/G212*100</f>
        <v>125.17461842640154</v>
      </c>
      <c r="K212" s="4">
        <f>H212/F212*100</f>
        <v>76.11460674157303</v>
      </c>
      <c r="L212" s="4">
        <f t="shared" si="15"/>
        <v>-8012.599999999999</v>
      </c>
      <c r="M212" s="4">
        <f t="shared" si="16"/>
        <v>29.71218540838794</v>
      </c>
      <c r="N212" s="5"/>
    </row>
    <row r="213" spans="1:14" ht="15.75" hidden="1">
      <c r="A213" s="107"/>
      <c r="B213" s="107"/>
      <c r="C213" s="31"/>
      <c r="D213" s="3" t="s">
        <v>67</v>
      </c>
      <c r="E213" s="8">
        <f>SUM(E204,E206:E211)</f>
        <v>10741.4</v>
      </c>
      <c r="F213" s="8">
        <f>SUM(F204,F206:F211)</f>
        <v>4450</v>
      </c>
      <c r="G213" s="8">
        <f>SUM(G204,G206:G211)</f>
        <v>2705.9</v>
      </c>
      <c r="H213" s="8">
        <f>SUM(H203:H204,H206:H211)</f>
        <v>3113.2999999999993</v>
      </c>
      <c r="I213" s="8">
        <f t="shared" si="14"/>
        <v>407.3999999999992</v>
      </c>
      <c r="J213" s="8">
        <f>H213/G213*100</f>
        <v>115.05598876529064</v>
      </c>
      <c r="K213" s="8">
        <f>H213/F213*100</f>
        <v>69.96179775280898</v>
      </c>
      <c r="L213" s="8">
        <f t="shared" si="15"/>
        <v>-7628.1</v>
      </c>
      <c r="M213" s="8">
        <f t="shared" si="16"/>
        <v>28.984117526579396</v>
      </c>
      <c r="N213" s="5"/>
    </row>
    <row r="214" spans="1:13" ht="267.75" hidden="1">
      <c r="A214" s="110" t="s">
        <v>110</v>
      </c>
      <c r="B214" s="111" t="s">
        <v>111</v>
      </c>
      <c r="C214" s="23" t="s">
        <v>14</v>
      </c>
      <c r="D214" s="46" t="s">
        <v>15</v>
      </c>
      <c r="E214" s="33"/>
      <c r="F214" s="33"/>
      <c r="G214" s="33"/>
      <c r="H214" s="33">
        <v>424.8</v>
      </c>
      <c r="I214" s="33">
        <f t="shared" si="14"/>
        <v>424.8</v>
      </c>
      <c r="J214" s="33"/>
      <c r="K214" s="33"/>
      <c r="L214" s="33">
        <f t="shared" si="15"/>
        <v>424.8</v>
      </c>
      <c r="M214" s="33"/>
    </row>
    <row r="215" spans="1:13" ht="267.75" hidden="1">
      <c r="A215" s="110"/>
      <c r="B215" s="111"/>
      <c r="C215" s="23" t="s">
        <v>20</v>
      </c>
      <c r="D215" s="47" t="s">
        <v>21</v>
      </c>
      <c r="E215" s="33">
        <v>81.1</v>
      </c>
      <c r="F215" s="33"/>
      <c r="G215" s="33"/>
      <c r="H215" s="33">
        <v>42.3</v>
      </c>
      <c r="I215" s="33">
        <f t="shared" si="14"/>
        <v>42.3</v>
      </c>
      <c r="J215" s="33"/>
      <c r="K215" s="33"/>
      <c r="L215" s="33">
        <f t="shared" si="15"/>
        <v>-38.8</v>
      </c>
      <c r="M215" s="33">
        <f t="shared" si="16"/>
        <v>52.15782983970407</v>
      </c>
    </row>
    <row r="216" spans="1:13" ht="267.75" hidden="1">
      <c r="A216" s="110"/>
      <c r="B216" s="111"/>
      <c r="C216" s="23" t="s">
        <v>101</v>
      </c>
      <c r="D216" s="34" t="s">
        <v>102</v>
      </c>
      <c r="E216" s="33"/>
      <c r="F216" s="33"/>
      <c r="G216" s="33"/>
      <c r="H216" s="33"/>
      <c r="I216" s="33">
        <f t="shared" si="14"/>
        <v>0</v>
      </c>
      <c r="J216" s="33"/>
      <c r="K216" s="33"/>
      <c r="L216" s="33">
        <f t="shared" si="15"/>
        <v>0</v>
      </c>
      <c r="M216" s="33" t="e">
        <f t="shared" si="16"/>
        <v>#DIV/0!</v>
      </c>
    </row>
    <row r="217" spans="1:13" ht="267.75" hidden="1">
      <c r="A217" s="114"/>
      <c r="B217" s="115"/>
      <c r="C217" s="23" t="s">
        <v>28</v>
      </c>
      <c r="D217" s="34" t="s">
        <v>29</v>
      </c>
      <c r="E217" s="33">
        <f>E218</f>
        <v>0.1</v>
      </c>
      <c r="F217" s="33">
        <f>F218</f>
        <v>0</v>
      </c>
      <c r="G217" s="33">
        <f>G218</f>
        <v>0</v>
      </c>
      <c r="H217" s="33">
        <f>H218</f>
        <v>15.2</v>
      </c>
      <c r="I217" s="33">
        <f t="shared" si="14"/>
        <v>15.2</v>
      </c>
      <c r="J217" s="33"/>
      <c r="K217" s="33"/>
      <c r="L217" s="33">
        <f t="shared" si="15"/>
        <v>15.1</v>
      </c>
      <c r="M217" s="33">
        <f t="shared" si="16"/>
        <v>15199.999999999996</v>
      </c>
    </row>
    <row r="218" spans="1:13" ht="47.25" hidden="1">
      <c r="A218" s="114"/>
      <c r="B218" s="115"/>
      <c r="C218" s="22" t="s">
        <v>32</v>
      </c>
      <c r="D218" s="36" t="s">
        <v>33</v>
      </c>
      <c r="E218" s="33">
        <v>0.1</v>
      </c>
      <c r="F218" s="33"/>
      <c r="G218" s="33"/>
      <c r="H218" s="33">
        <v>15.2</v>
      </c>
      <c r="I218" s="33">
        <f t="shared" si="14"/>
        <v>15.2</v>
      </c>
      <c r="J218" s="33" t="e">
        <f>H218/G218*100</f>
        <v>#DIV/0!</v>
      </c>
      <c r="K218" s="33" t="e">
        <f>H218/F218*100</f>
        <v>#DIV/0!</v>
      </c>
      <c r="L218" s="33">
        <f t="shared" si="15"/>
        <v>15.1</v>
      </c>
      <c r="M218" s="33">
        <f t="shared" si="16"/>
        <v>15199.999999999996</v>
      </c>
    </row>
    <row r="219" spans="1:13" ht="267.75" hidden="1">
      <c r="A219" s="114"/>
      <c r="B219" s="115"/>
      <c r="C219" s="23" t="s">
        <v>34</v>
      </c>
      <c r="D219" s="34" t="s">
        <v>35</v>
      </c>
      <c r="E219" s="33">
        <v>6.3</v>
      </c>
      <c r="F219" s="33"/>
      <c r="G219" s="33"/>
      <c r="H219" s="33"/>
      <c r="I219" s="33">
        <f t="shared" si="14"/>
        <v>0</v>
      </c>
      <c r="J219" s="33"/>
      <c r="K219" s="33"/>
      <c r="L219" s="33">
        <f t="shared" si="15"/>
        <v>-6.3</v>
      </c>
      <c r="M219" s="33">
        <f t="shared" si="16"/>
        <v>0</v>
      </c>
    </row>
    <row r="220" spans="1:13" ht="267.75" hidden="1">
      <c r="A220" s="114"/>
      <c r="B220" s="115"/>
      <c r="C220" s="23" t="s">
        <v>36</v>
      </c>
      <c r="D220" s="34" t="s">
        <v>37</v>
      </c>
      <c r="E220" s="33">
        <v>663.1</v>
      </c>
      <c r="F220" s="33">
        <v>230</v>
      </c>
      <c r="G220" s="33">
        <v>230</v>
      </c>
      <c r="H220" s="33">
        <v>203.4</v>
      </c>
      <c r="I220" s="33">
        <f t="shared" si="14"/>
        <v>-26.599999999999994</v>
      </c>
      <c r="J220" s="33">
        <f>H220/G220*100</f>
        <v>88.43478260869566</v>
      </c>
      <c r="K220" s="33">
        <f>H220/F220*100</f>
        <v>88.43478260869566</v>
      </c>
      <c r="L220" s="33">
        <f t="shared" si="15"/>
        <v>-459.70000000000005</v>
      </c>
      <c r="M220" s="33">
        <f t="shared" si="16"/>
        <v>30.67410646961243</v>
      </c>
    </row>
    <row r="221" spans="1:13" ht="267.75" hidden="1">
      <c r="A221" s="114"/>
      <c r="B221" s="115"/>
      <c r="C221" s="23" t="s">
        <v>39</v>
      </c>
      <c r="D221" s="34" t="s">
        <v>40</v>
      </c>
      <c r="E221" s="33"/>
      <c r="F221" s="33"/>
      <c r="G221" s="33"/>
      <c r="H221" s="33"/>
      <c r="I221" s="33">
        <f t="shared" si="14"/>
        <v>0</v>
      </c>
      <c r="J221" s="33" t="e">
        <f>H221/G221*100</f>
        <v>#DIV/0!</v>
      </c>
      <c r="K221" s="33" t="e">
        <f>H221/F221*100</f>
        <v>#DIV/0!</v>
      </c>
      <c r="L221" s="33">
        <f t="shared" si="15"/>
        <v>0</v>
      </c>
      <c r="M221" s="33" t="e">
        <f t="shared" si="16"/>
        <v>#DIV/0!</v>
      </c>
    </row>
    <row r="222" spans="1:13" ht="267.75" hidden="1">
      <c r="A222" s="114"/>
      <c r="B222" s="115"/>
      <c r="C222" s="23" t="s">
        <v>41</v>
      </c>
      <c r="D222" s="34" t="s">
        <v>91</v>
      </c>
      <c r="E222" s="33">
        <v>2989.4</v>
      </c>
      <c r="F222" s="33">
        <v>3950</v>
      </c>
      <c r="G222" s="33">
        <f>1769.7+554.2</f>
        <v>2323.9</v>
      </c>
      <c r="H222" s="33">
        <f>2251+682.3</f>
        <v>2933.3</v>
      </c>
      <c r="I222" s="33">
        <f t="shared" si="14"/>
        <v>609.4000000000001</v>
      </c>
      <c r="J222" s="33">
        <f>H222/G222*100</f>
        <v>126.22315934420587</v>
      </c>
      <c r="K222" s="33">
        <f>H222/F222*100</f>
        <v>74.26075949367089</v>
      </c>
      <c r="L222" s="33">
        <f t="shared" si="15"/>
        <v>-56.09999999999991</v>
      </c>
      <c r="M222" s="33">
        <f t="shared" si="16"/>
        <v>98.12336923797417</v>
      </c>
    </row>
    <row r="223" spans="1:13" ht="267.75" hidden="1">
      <c r="A223" s="114"/>
      <c r="B223" s="115"/>
      <c r="C223" s="23" t="s">
        <v>59</v>
      </c>
      <c r="D223" s="36" t="s">
        <v>60</v>
      </c>
      <c r="E223" s="33">
        <v>7721.4</v>
      </c>
      <c r="F223" s="33"/>
      <c r="G223" s="33"/>
      <c r="H223" s="33"/>
      <c r="I223" s="33">
        <f t="shared" si="14"/>
        <v>0</v>
      </c>
      <c r="J223" s="33"/>
      <c r="K223" s="33"/>
      <c r="L223" s="33">
        <f t="shared" si="15"/>
        <v>-7721.4</v>
      </c>
      <c r="M223" s="33">
        <f t="shared" si="16"/>
        <v>0</v>
      </c>
    </row>
    <row r="224" spans="1:13" ht="267.75" hidden="1">
      <c r="A224" s="114"/>
      <c r="B224" s="115"/>
      <c r="C224" s="23" t="s">
        <v>43</v>
      </c>
      <c r="D224" s="34" t="s">
        <v>38</v>
      </c>
      <c r="E224" s="33">
        <v>-331</v>
      </c>
      <c r="F224" s="33"/>
      <c r="G224" s="33"/>
      <c r="H224" s="33">
        <v>-293.8</v>
      </c>
      <c r="I224" s="33">
        <f t="shared" si="14"/>
        <v>-293.8</v>
      </c>
      <c r="J224" s="33"/>
      <c r="K224" s="33"/>
      <c r="L224" s="33">
        <f t="shared" si="15"/>
        <v>37.19999999999999</v>
      </c>
      <c r="M224" s="33">
        <f t="shared" si="16"/>
        <v>88.76132930513594</v>
      </c>
    </row>
    <row r="225" spans="1:14" ht="31.5" hidden="1">
      <c r="A225" s="114"/>
      <c r="B225" s="115"/>
      <c r="C225" s="25"/>
      <c r="D225" s="3" t="s">
        <v>48</v>
      </c>
      <c r="E225" s="4">
        <f>E226-E224</f>
        <v>11461.4</v>
      </c>
      <c r="F225" s="4">
        <f>F226-F224</f>
        <v>4180</v>
      </c>
      <c r="G225" s="4">
        <f>G226-G224</f>
        <v>2553.9</v>
      </c>
      <c r="H225" s="4">
        <f>H226-H224</f>
        <v>3619</v>
      </c>
      <c r="I225" s="4">
        <f t="shared" si="14"/>
        <v>1065.1</v>
      </c>
      <c r="J225" s="4">
        <f>H225/G225*100</f>
        <v>141.70484357257527</v>
      </c>
      <c r="K225" s="4">
        <f>H225/F225*100</f>
        <v>86.57894736842105</v>
      </c>
      <c r="L225" s="4">
        <f t="shared" si="15"/>
        <v>-7842.4</v>
      </c>
      <c r="M225" s="4">
        <f t="shared" si="16"/>
        <v>31.57554923482297</v>
      </c>
      <c r="N225" s="5"/>
    </row>
    <row r="226" spans="1:14" ht="15.75" hidden="1">
      <c r="A226" s="114"/>
      <c r="B226" s="115"/>
      <c r="C226" s="31"/>
      <c r="D226" s="3" t="s">
        <v>67</v>
      </c>
      <c r="E226" s="8">
        <f>SUM(E214:E217,E219:E224)</f>
        <v>11130.4</v>
      </c>
      <c r="F226" s="8">
        <f>SUM(F214:F217,F219:F224)</f>
        <v>4180</v>
      </c>
      <c r="G226" s="8">
        <f>SUM(G214:G217,G219:G224)</f>
        <v>2553.9</v>
      </c>
      <c r="H226" s="8">
        <f>SUM(H214:H217,H219:H224)</f>
        <v>3325.2</v>
      </c>
      <c r="I226" s="8">
        <f t="shared" si="14"/>
        <v>771.2999999999997</v>
      </c>
      <c r="J226" s="8">
        <f>H226/G226*100</f>
        <v>130.20086925878067</v>
      </c>
      <c r="K226" s="8">
        <f>H226/F226*100</f>
        <v>79.55023923444976</v>
      </c>
      <c r="L226" s="8">
        <f t="shared" si="15"/>
        <v>-7805.2</v>
      </c>
      <c r="M226" s="8">
        <f t="shared" si="16"/>
        <v>29.874937109178468</v>
      </c>
      <c r="N226" s="5"/>
    </row>
    <row r="227" spans="1:13" ht="267.75" hidden="1">
      <c r="A227" s="110" t="s">
        <v>112</v>
      </c>
      <c r="B227" s="103" t="s">
        <v>113</v>
      </c>
      <c r="C227" s="23" t="s">
        <v>20</v>
      </c>
      <c r="D227" s="47" t="s">
        <v>21</v>
      </c>
      <c r="E227" s="33">
        <v>29.2</v>
      </c>
      <c r="F227" s="33"/>
      <c r="G227" s="33"/>
      <c r="H227" s="33">
        <v>12.1</v>
      </c>
      <c r="I227" s="33">
        <f t="shared" si="14"/>
        <v>12.1</v>
      </c>
      <c r="J227" s="33"/>
      <c r="K227" s="33"/>
      <c r="L227" s="33">
        <f t="shared" si="15"/>
        <v>-17.1</v>
      </c>
      <c r="M227" s="33">
        <f t="shared" si="16"/>
        <v>41.43835616438356</v>
      </c>
    </row>
    <row r="228" spans="1:13" ht="267.75" hidden="1">
      <c r="A228" s="110"/>
      <c r="B228" s="112"/>
      <c r="C228" s="23" t="s">
        <v>101</v>
      </c>
      <c r="D228" s="34" t="s">
        <v>102</v>
      </c>
      <c r="E228" s="33"/>
      <c r="F228" s="33"/>
      <c r="G228" s="33"/>
      <c r="H228" s="33"/>
      <c r="I228" s="33">
        <f t="shared" si="14"/>
        <v>0</v>
      </c>
      <c r="J228" s="33"/>
      <c r="K228" s="33"/>
      <c r="L228" s="33">
        <f t="shared" si="15"/>
        <v>0</v>
      </c>
      <c r="M228" s="33" t="e">
        <f t="shared" si="16"/>
        <v>#DIV/0!</v>
      </c>
    </row>
    <row r="229" spans="1:13" ht="267.75" hidden="1">
      <c r="A229" s="114"/>
      <c r="B229" s="112"/>
      <c r="C229" s="23" t="s">
        <v>28</v>
      </c>
      <c r="D229" s="34" t="s">
        <v>29</v>
      </c>
      <c r="E229" s="33">
        <f>E230</f>
        <v>0</v>
      </c>
      <c r="F229" s="33">
        <f>F230</f>
        <v>0</v>
      </c>
      <c r="G229" s="33">
        <f>G230</f>
        <v>0</v>
      </c>
      <c r="H229" s="33">
        <f>H230</f>
        <v>0</v>
      </c>
      <c r="I229" s="33">
        <f t="shared" si="14"/>
        <v>0</v>
      </c>
      <c r="J229" s="33"/>
      <c r="K229" s="33"/>
      <c r="L229" s="33">
        <f t="shared" si="15"/>
        <v>0</v>
      </c>
      <c r="M229" s="33" t="e">
        <f t="shared" si="16"/>
        <v>#DIV/0!</v>
      </c>
    </row>
    <row r="230" spans="1:13" ht="47.25" hidden="1">
      <c r="A230" s="114"/>
      <c r="B230" s="112"/>
      <c r="C230" s="22" t="s">
        <v>32</v>
      </c>
      <c r="D230" s="36" t="s">
        <v>33</v>
      </c>
      <c r="E230" s="33"/>
      <c r="F230" s="33"/>
      <c r="G230" s="33"/>
      <c r="H230" s="33"/>
      <c r="I230" s="33">
        <f t="shared" si="14"/>
        <v>0</v>
      </c>
      <c r="J230" s="33"/>
      <c r="K230" s="33"/>
      <c r="L230" s="33">
        <f t="shared" si="15"/>
        <v>0</v>
      </c>
      <c r="M230" s="33" t="e">
        <f t="shared" si="16"/>
        <v>#DIV/0!</v>
      </c>
    </row>
    <row r="231" spans="1:13" ht="267.75" hidden="1">
      <c r="A231" s="114"/>
      <c r="B231" s="112"/>
      <c r="C231" s="23" t="s">
        <v>34</v>
      </c>
      <c r="D231" s="34" t="s">
        <v>35</v>
      </c>
      <c r="E231" s="39">
        <v>0.8</v>
      </c>
      <c r="F231" s="33"/>
      <c r="G231" s="33"/>
      <c r="H231" s="33">
        <v>-2.4</v>
      </c>
      <c r="I231" s="39">
        <f t="shared" si="14"/>
        <v>-2.4</v>
      </c>
      <c r="J231" s="39"/>
      <c r="K231" s="39"/>
      <c r="L231" s="39">
        <f t="shared" si="15"/>
        <v>-3.2</v>
      </c>
      <c r="M231" s="39">
        <f t="shared" si="16"/>
        <v>-299.99999999999994</v>
      </c>
    </row>
    <row r="232" spans="1:13" ht="267.75" hidden="1">
      <c r="A232" s="114"/>
      <c r="B232" s="112"/>
      <c r="C232" s="23" t="s">
        <v>36</v>
      </c>
      <c r="D232" s="34" t="s">
        <v>37</v>
      </c>
      <c r="E232" s="33">
        <v>44</v>
      </c>
      <c r="F232" s="33">
        <v>44</v>
      </c>
      <c r="G232" s="33">
        <v>44</v>
      </c>
      <c r="H232" s="33">
        <v>0.5</v>
      </c>
      <c r="I232" s="33">
        <f t="shared" si="14"/>
        <v>-43.5</v>
      </c>
      <c r="J232" s="33">
        <f>H232/G232*100</f>
        <v>1.1363636363636365</v>
      </c>
      <c r="K232" s="33">
        <f>H232/F232*100</f>
        <v>1.1363636363636365</v>
      </c>
      <c r="L232" s="33">
        <f t="shared" si="15"/>
        <v>-43.5</v>
      </c>
      <c r="M232" s="33">
        <f t="shared" si="16"/>
        <v>1.1363636363636365</v>
      </c>
    </row>
    <row r="233" spans="1:13" ht="267.75" hidden="1">
      <c r="A233" s="114"/>
      <c r="B233" s="112"/>
      <c r="C233" s="23" t="s">
        <v>39</v>
      </c>
      <c r="D233" s="34" t="s">
        <v>40</v>
      </c>
      <c r="E233" s="33"/>
      <c r="F233" s="33"/>
      <c r="G233" s="33"/>
      <c r="H233" s="33"/>
      <c r="I233" s="33">
        <f t="shared" si="14"/>
        <v>0</v>
      </c>
      <c r="J233" s="33" t="e">
        <f>H233/G233*100</f>
        <v>#DIV/0!</v>
      </c>
      <c r="K233" s="33" t="e">
        <f>H233/F233*100</f>
        <v>#DIV/0!</v>
      </c>
      <c r="L233" s="33">
        <f t="shared" si="15"/>
        <v>0</v>
      </c>
      <c r="M233" s="33" t="e">
        <f t="shared" si="16"/>
        <v>#DIV/0!</v>
      </c>
    </row>
    <row r="234" spans="1:13" ht="267.75" hidden="1">
      <c r="A234" s="114"/>
      <c r="B234" s="112"/>
      <c r="C234" s="23" t="s">
        <v>41</v>
      </c>
      <c r="D234" s="34" t="s">
        <v>91</v>
      </c>
      <c r="E234" s="33">
        <v>619</v>
      </c>
      <c r="F234" s="33">
        <v>850</v>
      </c>
      <c r="G234" s="33">
        <v>430.3</v>
      </c>
      <c r="H234" s="33">
        <v>696.2</v>
      </c>
      <c r="I234" s="33">
        <f t="shared" si="14"/>
        <v>265.90000000000003</v>
      </c>
      <c r="J234" s="33">
        <f>H234/G234*100</f>
        <v>161.79409714152916</v>
      </c>
      <c r="K234" s="33">
        <f>H234/F234*100</f>
        <v>81.90588235294118</v>
      </c>
      <c r="L234" s="33">
        <f t="shared" si="15"/>
        <v>77.20000000000005</v>
      </c>
      <c r="M234" s="33">
        <f t="shared" si="16"/>
        <v>112.47172859450727</v>
      </c>
    </row>
    <row r="235" spans="1:13" ht="267.75" hidden="1">
      <c r="A235" s="114"/>
      <c r="B235" s="112"/>
      <c r="C235" s="23" t="s">
        <v>59</v>
      </c>
      <c r="D235" s="36" t="s">
        <v>60</v>
      </c>
      <c r="E235" s="33">
        <v>575.3</v>
      </c>
      <c r="F235" s="33"/>
      <c r="G235" s="33"/>
      <c r="H235" s="33"/>
      <c r="I235" s="33">
        <f t="shared" si="14"/>
        <v>0</v>
      </c>
      <c r="J235" s="33"/>
      <c r="K235" s="33"/>
      <c r="L235" s="33">
        <f t="shared" si="15"/>
        <v>-575.3</v>
      </c>
      <c r="M235" s="33">
        <f t="shared" si="16"/>
        <v>0</v>
      </c>
    </row>
    <row r="236" spans="1:13" ht="267.75" hidden="1">
      <c r="A236" s="114"/>
      <c r="B236" s="112"/>
      <c r="C236" s="23" t="s">
        <v>43</v>
      </c>
      <c r="D236" s="34" t="s">
        <v>38</v>
      </c>
      <c r="E236" s="33">
        <v>-1</v>
      </c>
      <c r="F236" s="33"/>
      <c r="G236" s="33"/>
      <c r="H236" s="33">
        <v>-0.8</v>
      </c>
      <c r="I236" s="33">
        <f t="shared" si="14"/>
        <v>-0.8</v>
      </c>
      <c r="J236" s="33"/>
      <c r="K236" s="33"/>
      <c r="L236" s="33">
        <f t="shared" si="15"/>
        <v>0.19999999999999996</v>
      </c>
      <c r="M236" s="33">
        <f t="shared" si="16"/>
        <v>80</v>
      </c>
    </row>
    <row r="237" spans="1:14" ht="31.5" hidden="1">
      <c r="A237" s="114"/>
      <c r="B237" s="112"/>
      <c r="C237" s="25"/>
      <c r="D237" s="3" t="s">
        <v>48</v>
      </c>
      <c r="E237" s="4">
        <f>E238-E236</f>
        <v>1268.3</v>
      </c>
      <c r="F237" s="4">
        <f>F238-F236</f>
        <v>894</v>
      </c>
      <c r="G237" s="4">
        <f>G238-G236</f>
        <v>474.3</v>
      </c>
      <c r="H237" s="4">
        <f>H238-H236</f>
        <v>706.4000000000001</v>
      </c>
      <c r="I237" s="4">
        <f t="shared" si="14"/>
        <v>232.10000000000008</v>
      </c>
      <c r="J237" s="4">
        <f>H237/G237*100</f>
        <v>148.93527303394478</v>
      </c>
      <c r="K237" s="4">
        <f>H237/F237*100</f>
        <v>79.01565995525728</v>
      </c>
      <c r="L237" s="4">
        <f t="shared" si="15"/>
        <v>-561.8999999999999</v>
      </c>
      <c r="M237" s="4">
        <f t="shared" si="16"/>
        <v>55.69660175037453</v>
      </c>
      <c r="N237" s="5"/>
    </row>
    <row r="238" spans="1:14" ht="15.75" hidden="1">
      <c r="A238" s="114"/>
      <c r="B238" s="112"/>
      <c r="C238" s="31"/>
      <c r="D238" s="3" t="s">
        <v>67</v>
      </c>
      <c r="E238" s="8">
        <f>SUM(E227:E229,E231:E236)</f>
        <v>1267.3</v>
      </c>
      <c r="F238" s="8">
        <f>SUM(F227:F229,F231:F236)</f>
        <v>894</v>
      </c>
      <c r="G238" s="8">
        <f>SUM(G227:G229,G231:G236)</f>
        <v>474.3</v>
      </c>
      <c r="H238" s="8">
        <f>SUM(H227:H229,H231:H236)</f>
        <v>705.6000000000001</v>
      </c>
      <c r="I238" s="8">
        <f t="shared" si="14"/>
        <v>231.30000000000013</v>
      </c>
      <c r="J238" s="8">
        <f>H238/G238*100</f>
        <v>148.7666034155598</v>
      </c>
      <c r="K238" s="8">
        <f>H238/F238*100</f>
        <v>78.92617449664431</v>
      </c>
      <c r="L238" s="8">
        <f t="shared" si="15"/>
        <v>-561.6999999999998</v>
      </c>
      <c r="M238" s="8">
        <f t="shared" si="16"/>
        <v>55.67742444567192</v>
      </c>
      <c r="N238" s="5"/>
    </row>
    <row r="239" spans="1:13" ht="78.75" hidden="1">
      <c r="A239" s="100" t="s">
        <v>114</v>
      </c>
      <c r="B239" s="103" t="s">
        <v>115</v>
      </c>
      <c r="C239" s="22" t="s">
        <v>18</v>
      </c>
      <c r="D239" s="36" t="s">
        <v>116</v>
      </c>
      <c r="E239" s="33">
        <v>2415.5</v>
      </c>
      <c r="F239" s="33">
        <v>1612.5</v>
      </c>
      <c r="G239" s="33">
        <v>793.9</v>
      </c>
      <c r="H239" s="33">
        <v>875.5</v>
      </c>
      <c r="I239" s="33">
        <f t="shared" si="14"/>
        <v>81.60000000000002</v>
      </c>
      <c r="J239" s="33">
        <f>H239/G239*100</f>
        <v>110.27837259100643</v>
      </c>
      <c r="K239" s="33">
        <f>H239/F239*100</f>
        <v>54.29457364341085</v>
      </c>
      <c r="L239" s="33">
        <f t="shared" si="15"/>
        <v>-1540</v>
      </c>
      <c r="M239" s="33">
        <f t="shared" si="16"/>
        <v>36.24508383357483</v>
      </c>
    </row>
    <row r="240" spans="1:13" ht="267.75" hidden="1">
      <c r="A240" s="108"/>
      <c r="B240" s="106"/>
      <c r="C240" s="23" t="s">
        <v>20</v>
      </c>
      <c r="D240" s="47" t="s">
        <v>21</v>
      </c>
      <c r="E240" s="52">
        <v>3424.8</v>
      </c>
      <c r="F240" s="33"/>
      <c r="G240" s="33"/>
      <c r="H240" s="52">
        <v>4551.8</v>
      </c>
      <c r="I240" s="52">
        <f t="shared" si="14"/>
        <v>4551.8</v>
      </c>
      <c r="J240" s="52"/>
      <c r="K240" s="52"/>
      <c r="L240" s="52">
        <f t="shared" si="15"/>
        <v>1127</v>
      </c>
      <c r="M240" s="52">
        <f t="shared" si="16"/>
        <v>132.90703106750757</v>
      </c>
    </row>
    <row r="241" spans="1:13" ht="267.75" hidden="1">
      <c r="A241" s="108"/>
      <c r="B241" s="106"/>
      <c r="C241" s="23" t="s">
        <v>28</v>
      </c>
      <c r="D241" s="34" t="s">
        <v>29</v>
      </c>
      <c r="E241" s="33">
        <f>SUM(E242:E243)</f>
        <v>818.5</v>
      </c>
      <c r="F241" s="33">
        <f>SUM(F242:F243)</f>
        <v>0</v>
      </c>
      <c r="G241" s="33">
        <f>SUM(G242:G243)</f>
        <v>0</v>
      </c>
      <c r="H241" s="33">
        <f>SUM(H242:H243)</f>
        <v>161.6</v>
      </c>
      <c r="I241" s="33">
        <f t="shared" si="14"/>
        <v>161.6</v>
      </c>
      <c r="J241" s="33"/>
      <c r="K241" s="33"/>
      <c r="L241" s="33">
        <f t="shared" si="15"/>
        <v>-656.9</v>
      </c>
      <c r="M241" s="33">
        <f t="shared" si="16"/>
        <v>19.743433109346363</v>
      </c>
    </row>
    <row r="242" spans="1:13" ht="63" hidden="1">
      <c r="A242" s="108"/>
      <c r="B242" s="106"/>
      <c r="C242" s="22" t="s">
        <v>30</v>
      </c>
      <c r="D242" s="49" t="s">
        <v>31</v>
      </c>
      <c r="E242" s="33">
        <v>232.2</v>
      </c>
      <c r="F242" s="33"/>
      <c r="G242" s="33"/>
      <c r="H242" s="33"/>
      <c r="I242" s="33">
        <f t="shared" si="14"/>
        <v>0</v>
      </c>
      <c r="J242" s="33"/>
      <c r="K242" s="33"/>
      <c r="L242" s="33">
        <f t="shared" si="15"/>
        <v>-232.2</v>
      </c>
      <c r="M242" s="33">
        <f t="shared" si="16"/>
        <v>0</v>
      </c>
    </row>
    <row r="243" spans="1:13" ht="47.25" hidden="1">
      <c r="A243" s="108"/>
      <c r="B243" s="106"/>
      <c r="C243" s="22" t="s">
        <v>32</v>
      </c>
      <c r="D243" s="36" t="s">
        <v>33</v>
      </c>
      <c r="E243" s="33">
        <v>586.3</v>
      </c>
      <c r="F243" s="33"/>
      <c r="G243" s="33"/>
      <c r="H243" s="33">
        <v>161.6</v>
      </c>
      <c r="I243" s="33">
        <f t="shared" si="14"/>
        <v>161.6</v>
      </c>
      <c r="J243" s="33"/>
      <c r="K243" s="33"/>
      <c r="L243" s="33">
        <f t="shared" si="15"/>
        <v>-424.69999999999993</v>
      </c>
      <c r="M243" s="33">
        <f t="shared" si="16"/>
        <v>27.562681221217805</v>
      </c>
    </row>
    <row r="244" spans="1:13" ht="267.75" hidden="1">
      <c r="A244" s="108"/>
      <c r="B244" s="106"/>
      <c r="C244" s="23" t="s">
        <v>34</v>
      </c>
      <c r="D244" s="34" t="s">
        <v>35</v>
      </c>
      <c r="E244" s="33">
        <v>-278.7</v>
      </c>
      <c r="F244" s="33"/>
      <c r="G244" s="33"/>
      <c r="H244" s="33"/>
      <c r="I244" s="33">
        <f t="shared" si="14"/>
        <v>0</v>
      </c>
      <c r="J244" s="33"/>
      <c r="K244" s="33"/>
      <c r="L244" s="33">
        <f t="shared" si="15"/>
        <v>278.7</v>
      </c>
      <c r="M244" s="33">
        <f t="shared" si="16"/>
        <v>0</v>
      </c>
    </row>
    <row r="245" spans="1:13" ht="267.75" hidden="1">
      <c r="A245" s="108"/>
      <c r="B245" s="106"/>
      <c r="C245" s="23" t="s">
        <v>36</v>
      </c>
      <c r="D245" s="34" t="s">
        <v>37</v>
      </c>
      <c r="E245" s="33"/>
      <c r="F245" s="33"/>
      <c r="G245" s="33"/>
      <c r="H245" s="33"/>
      <c r="I245" s="33">
        <f t="shared" si="14"/>
        <v>0</v>
      </c>
      <c r="J245" s="33"/>
      <c r="K245" s="33"/>
      <c r="L245" s="33">
        <f t="shared" si="15"/>
        <v>0</v>
      </c>
      <c r="M245" s="33" t="e">
        <f t="shared" si="16"/>
        <v>#DIV/0!</v>
      </c>
    </row>
    <row r="246" spans="1:13" ht="267.75" hidden="1">
      <c r="A246" s="108"/>
      <c r="B246" s="106"/>
      <c r="C246" s="23" t="s">
        <v>39</v>
      </c>
      <c r="D246" s="34" t="s">
        <v>40</v>
      </c>
      <c r="E246" s="33">
        <v>296</v>
      </c>
      <c r="F246" s="52"/>
      <c r="G246" s="52"/>
      <c r="H246" s="33"/>
      <c r="I246" s="33">
        <f t="shared" si="14"/>
        <v>0</v>
      </c>
      <c r="J246" s="33"/>
      <c r="K246" s="33"/>
      <c r="L246" s="33">
        <f t="shared" si="15"/>
        <v>-296</v>
      </c>
      <c r="M246" s="33">
        <f t="shared" si="16"/>
        <v>0</v>
      </c>
    </row>
    <row r="247" spans="1:13" ht="267.75" hidden="1">
      <c r="A247" s="108"/>
      <c r="B247" s="106"/>
      <c r="C247" s="23" t="s">
        <v>41</v>
      </c>
      <c r="D247" s="34" t="s">
        <v>91</v>
      </c>
      <c r="E247" s="33">
        <v>94.6</v>
      </c>
      <c r="F247" s="52"/>
      <c r="G247" s="52"/>
      <c r="H247" s="33"/>
      <c r="I247" s="33">
        <f t="shared" si="14"/>
        <v>0</v>
      </c>
      <c r="J247" s="33"/>
      <c r="K247" s="33"/>
      <c r="L247" s="33">
        <f t="shared" si="15"/>
        <v>-94.6</v>
      </c>
      <c r="M247" s="33">
        <f t="shared" si="16"/>
        <v>0</v>
      </c>
    </row>
    <row r="248" spans="1:13" ht="267.75" hidden="1">
      <c r="A248" s="108"/>
      <c r="B248" s="106"/>
      <c r="C248" s="23" t="s">
        <v>70</v>
      </c>
      <c r="D248" s="34" t="s">
        <v>71</v>
      </c>
      <c r="E248" s="33"/>
      <c r="F248" s="52"/>
      <c r="G248" s="52"/>
      <c r="H248" s="33"/>
      <c r="I248" s="33">
        <f t="shared" si="14"/>
        <v>0</v>
      </c>
      <c r="J248" s="33"/>
      <c r="K248" s="33"/>
      <c r="L248" s="33">
        <f t="shared" si="15"/>
        <v>0</v>
      </c>
      <c r="M248" s="33" t="e">
        <f t="shared" si="16"/>
        <v>#DIV/0!</v>
      </c>
    </row>
    <row r="249" spans="1:13" ht="267.75" hidden="1">
      <c r="A249" s="108"/>
      <c r="B249" s="106"/>
      <c r="C249" s="23" t="s">
        <v>43</v>
      </c>
      <c r="D249" s="34" t="s">
        <v>38</v>
      </c>
      <c r="E249" s="33">
        <v>-63962.9</v>
      </c>
      <c r="F249" s="52"/>
      <c r="G249" s="52"/>
      <c r="H249" s="33">
        <v>-7286</v>
      </c>
      <c r="I249" s="33">
        <f t="shared" si="14"/>
        <v>-7286</v>
      </c>
      <c r="J249" s="33"/>
      <c r="K249" s="33"/>
      <c r="L249" s="33">
        <f t="shared" si="15"/>
        <v>56676.9</v>
      </c>
      <c r="M249" s="33">
        <f t="shared" si="16"/>
        <v>11.390978207679764</v>
      </c>
    </row>
    <row r="250" spans="1:14" ht="15.75" hidden="1">
      <c r="A250" s="108"/>
      <c r="B250" s="106"/>
      <c r="C250" s="24"/>
      <c r="D250" s="3" t="s">
        <v>44</v>
      </c>
      <c r="E250" s="8">
        <f>SUM(E239:E241,E244:E249)</f>
        <v>-57192.2</v>
      </c>
      <c r="F250" s="8">
        <f>SUM(F239:F241,F244:F249)</f>
        <v>1612.5</v>
      </c>
      <c r="G250" s="8">
        <f>SUM(G239:G241,G244:G249)</f>
        <v>793.9</v>
      </c>
      <c r="H250" s="8">
        <f>SUM(H239:H241,H244:H249)</f>
        <v>-1697.0999999999995</v>
      </c>
      <c r="I250" s="8">
        <f t="shared" si="14"/>
        <v>-2490.9999999999995</v>
      </c>
      <c r="J250" s="8">
        <f aca="true" t="shared" si="17" ref="J250:J255">H250/G250*100</f>
        <v>-213.7674770122181</v>
      </c>
      <c r="K250" s="8">
        <f aca="true" t="shared" si="18" ref="K250:K255">H250/F250*100</f>
        <v>-105.24651162790694</v>
      </c>
      <c r="L250" s="8">
        <f t="shared" si="15"/>
        <v>55495.1</v>
      </c>
      <c r="M250" s="8">
        <f t="shared" si="16"/>
        <v>2.9673626823238126</v>
      </c>
      <c r="N250" s="5"/>
    </row>
    <row r="251" spans="1:13" ht="267.75" hidden="1">
      <c r="A251" s="108"/>
      <c r="B251" s="106"/>
      <c r="C251" s="23" t="s">
        <v>28</v>
      </c>
      <c r="D251" s="34" t="s">
        <v>29</v>
      </c>
      <c r="E251" s="33">
        <f>E252</f>
        <v>5105.6</v>
      </c>
      <c r="F251" s="33">
        <f>F252</f>
        <v>6990</v>
      </c>
      <c r="G251" s="33">
        <v>3544</v>
      </c>
      <c r="H251" s="33">
        <f>H252</f>
        <v>3794.6</v>
      </c>
      <c r="I251" s="33">
        <f t="shared" si="14"/>
        <v>250.5999999999999</v>
      </c>
      <c r="J251" s="33">
        <f t="shared" si="17"/>
        <v>107.07110609480812</v>
      </c>
      <c r="K251" s="33">
        <f t="shared" si="18"/>
        <v>54.28612303290414</v>
      </c>
      <c r="L251" s="33">
        <f t="shared" si="15"/>
        <v>-1311.0000000000005</v>
      </c>
      <c r="M251" s="33">
        <f t="shared" si="16"/>
        <v>74.32231275462236</v>
      </c>
    </row>
    <row r="252" spans="1:13" ht="47.25" hidden="1">
      <c r="A252" s="108"/>
      <c r="B252" s="106"/>
      <c r="C252" s="22" t="s">
        <v>32</v>
      </c>
      <c r="D252" s="36" t="s">
        <v>33</v>
      </c>
      <c r="E252" s="33">
        <v>5105.6</v>
      </c>
      <c r="F252" s="33">
        <v>6990</v>
      </c>
      <c r="G252" s="33">
        <v>2914</v>
      </c>
      <c r="H252" s="33">
        <v>3794.6</v>
      </c>
      <c r="I252" s="33">
        <f t="shared" si="14"/>
        <v>880.5999999999999</v>
      </c>
      <c r="J252" s="33">
        <f t="shared" si="17"/>
        <v>130.21962937542898</v>
      </c>
      <c r="K252" s="33">
        <f t="shared" si="18"/>
        <v>54.28612303290414</v>
      </c>
      <c r="L252" s="33">
        <f t="shared" si="15"/>
        <v>-1311.0000000000005</v>
      </c>
      <c r="M252" s="33">
        <f t="shared" si="16"/>
        <v>74.32231275462236</v>
      </c>
    </row>
    <row r="253" spans="1:14" ht="15.75" hidden="1">
      <c r="A253" s="108"/>
      <c r="B253" s="106"/>
      <c r="C253" s="24"/>
      <c r="D253" s="3" t="s">
        <v>47</v>
      </c>
      <c r="E253" s="8">
        <f>E251</f>
        <v>5105.6</v>
      </c>
      <c r="F253" s="8">
        <f>F251</f>
        <v>6990</v>
      </c>
      <c r="G253" s="8">
        <f>G251</f>
        <v>3544</v>
      </c>
      <c r="H253" s="8">
        <f>H251</f>
        <v>3794.6</v>
      </c>
      <c r="I253" s="8">
        <f t="shared" si="14"/>
        <v>250.5999999999999</v>
      </c>
      <c r="J253" s="8">
        <f t="shared" si="17"/>
        <v>107.07110609480812</v>
      </c>
      <c r="K253" s="8">
        <f t="shared" si="18"/>
        <v>54.28612303290414</v>
      </c>
      <c r="L253" s="8">
        <f t="shared" si="15"/>
        <v>-1311.0000000000005</v>
      </c>
      <c r="M253" s="8">
        <f t="shared" si="16"/>
        <v>74.32231275462236</v>
      </c>
      <c r="N253" s="5"/>
    </row>
    <row r="254" spans="1:14" ht="31.5" hidden="1">
      <c r="A254" s="108"/>
      <c r="B254" s="106"/>
      <c r="C254" s="24"/>
      <c r="D254" s="3" t="s">
        <v>48</v>
      </c>
      <c r="E254" s="8">
        <f>E255-E249</f>
        <v>11876.300000000003</v>
      </c>
      <c r="F254" s="8">
        <f>F255-F249</f>
        <v>8602.5</v>
      </c>
      <c r="G254" s="8">
        <f>G255-G249</f>
        <v>4337.9</v>
      </c>
      <c r="H254" s="8">
        <f>H255-H249</f>
        <v>9383.5</v>
      </c>
      <c r="I254" s="8">
        <f t="shared" si="14"/>
        <v>5045.6</v>
      </c>
      <c r="J254" s="8">
        <f t="shared" si="17"/>
        <v>216.31434565112153</v>
      </c>
      <c r="K254" s="8">
        <f t="shared" si="18"/>
        <v>109.07875617553037</v>
      </c>
      <c r="L254" s="8">
        <f t="shared" si="15"/>
        <v>-2492.800000000003</v>
      </c>
      <c r="M254" s="8">
        <f t="shared" si="16"/>
        <v>79.01029782002811</v>
      </c>
      <c r="N254" s="5"/>
    </row>
    <row r="255" spans="1:14" ht="15.75" hidden="1">
      <c r="A255" s="109"/>
      <c r="B255" s="107"/>
      <c r="C255" s="24"/>
      <c r="D255" s="3" t="s">
        <v>67</v>
      </c>
      <c r="E255" s="8">
        <f>E250+E253</f>
        <v>-52086.6</v>
      </c>
      <c r="F255" s="8">
        <f>F250+F253</f>
        <v>8602.5</v>
      </c>
      <c r="G255" s="8">
        <f>G250+G253</f>
        <v>4337.9</v>
      </c>
      <c r="H255" s="8">
        <f>H250+H253</f>
        <v>2097.5000000000005</v>
      </c>
      <c r="I255" s="8">
        <f t="shared" si="14"/>
        <v>-2240.399999999999</v>
      </c>
      <c r="J255" s="8">
        <f t="shared" si="17"/>
        <v>48.35288964706426</v>
      </c>
      <c r="K255" s="8">
        <f t="shared" si="18"/>
        <v>24.38244696309213</v>
      </c>
      <c r="L255" s="8">
        <f t="shared" si="15"/>
        <v>54184.1</v>
      </c>
      <c r="M255" s="8">
        <f t="shared" si="16"/>
        <v>-4.0269474298572</v>
      </c>
      <c r="N255" s="5"/>
    </row>
    <row r="256" spans="1:14" ht="267.75" hidden="1">
      <c r="A256" s="103">
        <v>943</v>
      </c>
      <c r="B256" s="103" t="s">
        <v>117</v>
      </c>
      <c r="C256" s="23" t="s">
        <v>20</v>
      </c>
      <c r="D256" s="47" t="s">
        <v>21</v>
      </c>
      <c r="E256" s="52">
        <v>415.2</v>
      </c>
      <c r="F256" s="8"/>
      <c r="G256" s="8"/>
      <c r="H256" s="52">
        <v>26</v>
      </c>
      <c r="I256" s="52">
        <f t="shared" si="14"/>
        <v>26</v>
      </c>
      <c r="J256" s="52"/>
      <c r="K256" s="52"/>
      <c r="L256" s="52">
        <f t="shared" si="15"/>
        <v>-389.2</v>
      </c>
      <c r="M256" s="52">
        <f t="shared" si="16"/>
        <v>6.262042389210019</v>
      </c>
      <c r="N256" s="5"/>
    </row>
    <row r="257" spans="1:14" ht="94.5" hidden="1">
      <c r="A257" s="108"/>
      <c r="B257" s="112"/>
      <c r="C257" s="22" t="s">
        <v>22</v>
      </c>
      <c r="D257" s="48" t="s">
        <v>23</v>
      </c>
      <c r="E257" s="52">
        <v>27</v>
      </c>
      <c r="F257" s="8"/>
      <c r="G257" s="8"/>
      <c r="H257" s="52"/>
      <c r="I257" s="52">
        <f t="shared" si="14"/>
        <v>0</v>
      </c>
      <c r="J257" s="52"/>
      <c r="K257" s="52"/>
      <c r="L257" s="52">
        <f t="shared" si="15"/>
        <v>-27</v>
      </c>
      <c r="M257" s="52">
        <f t="shared" si="16"/>
        <v>0</v>
      </c>
      <c r="N257" s="5"/>
    </row>
    <row r="258" spans="1:14" ht="267.75" hidden="1">
      <c r="A258" s="108"/>
      <c r="B258" s="112"/>
      <c r="C258" s="23" t="s">
        <v>28</v>
      </c>
      <c r="D258" s="34" t="s">
        <v>29</v>
      </c>
      <c r="E258" s="33">
        <f>SUM(E259:E260)</f>
        <v>0</v>
      </c>
      <c r="F258" s="33">
        <f>SUM(F259:F260)</f>
        <v>0</v>
      </c>
      <c r="G258" s="33">
        <f>SUM(G259:G260)</f>
        <v>0</v>
      </c>
      <c r="H258" s="33">
        <f>SUM(H259:H260)</f>
        <v>3608.5</v>
      </c>
      <c r="I258" s="33">
        <f t="shared" si="14"/>
        <v>3608.5</v>
      </c>
      <c r="J258" s="33"/>
      <c r="K258" s="33"/>
      <c r="L258" s="33">
        <f t="shared" si="15"/>
        <v>3608.5</v>
      </c>
      <c r="M258" s="33"/>
      <c r="N258" s="5"/>
    </row>
    <row r="259" spans="1:14" ht="63" hidden="1">
      <c r="A259" s="108"/>
      <c r="B259" s="112"/>
      <c r="C259" s="22" t="s">
        <v>30</v>
      </c>
      <c r="D259" s="49" t="s">
        <v>31</v>
      </c>
      <c r="E259" s="33"/>
      <c r="F259" s="33"/>
      <c r="G259" s="33"/>
      <c r="H259" s="33"/>
      <c r="I259" s="33">
        <f t="shared" si="14"/>
        <v>0</v>
      </c>
      <c r="J259" s="33" t="e">
        <f>H259/G259*100</f>
        <v>#DIV/0!</v>
      </c>
      <c r="K259" s="33" t="e">
        <f>H259/F259*100</f>
        <v>#DIV/0!</v>
      </c>
      <c r="L259" s="33">
        <f t="shared" si="15"/>
        <v>0</v>
      </c>
      <c r="M259" s="33" t="e">
        <f t="shared" si="16"/>
        <v>#DIV/0!</v>
      </c>
      <c r="N259" s="5"/>
    </row>
    <row r="260" spans="1:14" ht="47.25" hidden="1">
      <c r="A260" s="108"/>
      <c r="B260" s="112"/>
      <c r="C260" s="22" t="s">
        <v>32</v>
      </c>
      <c r="D260" s="36" t="s">
        <v>33</v>
      </c>
      <c r="E260" s="33"/>
      <c r="F260" s="33"/>
      <c r="G260" s="33"/>
      <c r="H260" s="33">
        <v>3608.5</v>
      </c>
      <c r="I260" s="33">
        <f t="shared" si="14"/>
        <v>3608.5</v>
      </c>
      <c r="J260" s="33" t="e">
        <f>H260/G260*100</f>
        <v>#DIV/0!</v>
      </c>
      <c r="K260" s="33" t="e">
        <f>H260/F260*100</f>
        <v>#DIV/0!</v>
      </c>
      <c r="L260" s="33">
        <f t="shared" si="15"/>
        <v>3608.5</v>
      </c>
      <c r="M260" s="33" t="e">
        <f t="shared" si="16"/>
        <v>#DIV/0!</v>
      </c>
      <c r="N260" s="5"/>
    </row>
    <row r="261" spans="1:14" ht="267.75" hidden="1">
      <c r="A261" s="108"/>
      <c r="B261" s="112"/>
      <c r="C261" s="23" t="s">
        <v>34</v>
      </c>
      <c r="D261" s="34" t="s">
        <v>35</v>
      </c>
      <c r="E261" s="52"/>
      <c r="F261" s="8"/>
      <c r="G261" s="8"/>
      <c r="H261" s="52"/>
      <c r="I261" s="52">
        <f t="shared" si="14"/>
        <v>0</v>
      </c>
      <c r="J261" s="52" t="e">
        <f>H261/G261*100</f>
        <v>#DIV/0!</v>
      </c>
      <c r="K261" s="52" t="e">
        <f>H261/F261*100</f>
        <v>#DIV/0!</v>
      </c>
      <c r="L261" s="52">
        <f t="shared" si="15"/>
        <v>0</v>
      </c>
      <c r="M261" s="52" t="e">
        <f t="shared" si="16"/>
        <v>#DIV/0!</v>
      </c>
      <c r="N261" s="5"/>
    </row>
    <row r="262" spans="1:14" ht="267.75" hidden="1">
      <c r="A262" s="108"/>
      <c r="B262" s="112"/>
      <c r="C262" s="23" t="s">
        <v>36</v>
      </c>
      <c r="D262" s="34" t="s">
        <v>37</v>
      </c>
      <c r="E262" s="52"/>
      <c r="F262" s="8"/>
      <c r="G262" s="8"/>
      <c r="H262" s="52"/>
      <c r="I262" s="52">
        <f t="shared" si="14"/>
        <v>0</v>
      </c>
      <c r="J262" s="52" t="e">
        <f>H262/G262*100</f>
        <v>#DIV/0!</v>
      </c>
      <c r="K262" s="52" t="e">
        <f>H262/F262*100</f>
        <v>#DIV/0!</v>
      </c>
      <c r="L262" s="52">
        <f t="shared" si="15"/>
        <v>0</v>
      </c>
      <c r="M262" s="52" t="e">
        <f t="shared" si="16"/>
        <v>#DIV/0!</v>
      </c>
      <c r="N262" s="5"/>
    </row>
    <row r="263" spans="1:14" ht="267.75" hidden="1">
      <c r="A263" s="108"/>
      <c r="B263" s="112"/>
      <c r="C263" s="23" t="s">
        <v>39</v>
      </c>
      <c r="D263" s="34" t="s">
        <v>40</v>
      </c>
      <c r="E263" s="52">
        <v>28554.4</v>
      </c>
      <c r="F263" s="52"/>
      <c r="G263" s="52"/>
      <c r="H263" s="52"/>
      <c r="I263" s="52">
        <f t="shared" si="14"/>
        <v>0</v>
      </c>
      <c r="J263" s="52"/>
      <c r="K263" s="52"/>
      <c r="L263" s="52">
        <f t="shared" si="15"/>
        <v>-28554.4</v>
      </c>
      <c r="M263" s="52">
        <f t="shared" si="16"/>
        <v>0</v>
      </c>
      <c r="N263" s="5"/>
    </row>
    <row r="264" spans="1:14" ht="267.75" hidden="1">
      <c r="A264" s="108"/>
      <c r="B264" s="112"/>
      <c r="C264" s="23" t="s">
        <v>41</v>
      </c>
      <c r="D264" s="34" t="s">
        <v>91</v>
      </c>
      <c r="E264" s="52">
        <v>72.3</v>
      </c>
      <c r="F264" s="52"/>
      <c r="G264" s="52"/>
      <c r="H264" s="52"/>
      <c r="I264" s="52">
        <f t="shared" si="14"/>
        <v>0</v>
      </c>
      <c r="J264" s="52"/>
      <c r="K264" s="52"/>
      <c r="L264" s="52">
        <f t="shared" si="15"/>
        <v>-72.3</v>
      </c>
      <c r="M264" s="52">
        <f t="shared" si="16"/>
        <v>0</v>
      </c>
      <c r="N264" s="5"/>
    </row>
    <row r="265" spans="1:14" ht="267.75" hidden="1">
      <c r="A265" s="108"/>
      <c r="B265" s="112"/>
      <c r="C265" s="23" t="s">
        <v>59</v>
      </c>
      <c r="D265" s="36" t="s">
        <v>60</v>
      </c>
      <c r="E265" s="52"/>
      <c r="F265" s="52"/>
      <c r="G265" s="52"/>
      <c r="H265" s="52"/>
      <c r="I265" s="52">
        <f t="shared" si="14"/>
        <v>0</v>
      </c>
      <c r="J265" s="52"/>
      <c r="K265" s="52" t="e">
        <f>H265/F265*100</f>
        <v>#DIV/0!</v>
      </c>
      <c r="L265" s="52">
        <f t="shared" si="15"/>
        <v>0</v>
      </c>
      <c r="M265" s="52" t="e">
        <f t="shared" si="16"/>
        <v>#DIV/0!</v>
      </c>
      <c r="N265" s="5"/>
    </row>
    <row r="266" spans="1:14" ht="267.75" hidden="1">
      <c r="A266" s="108"/>
      <c r="B266" s="112"/>
      <c r="C266" s="23" t="s">
        <v>43</v>
      </c>
      <c r="D266" s="34" t="s">
        <v>38</v>
      </c>
      <c r="E266" s="52"/>
      <c r="F266" s="52"/>
      <c r="G266" s="52"/>
      <c r="H266" s="52">
        <v>-235.9</v>
      </c>
      <c r="I266" s="52">
        <f aca="true" t="shared" si="19" ref="I266:I329">H266-G266</f>
        <v>-235.9</v>
      </c>
      <c r="J266" s="52"/>
      <c r="K266" s="52"/>
      <c r="L266" s="52">
        <f aca="true" t="shared" si="20" ref="L266:L329">H266-E266</f>
        <v>-235.9</v>
      </c>
      <c r="M266" s="52"/>
      <c r="N266" s="5"/>
    </row>
    <row r="267" spans="1:14" ht="31.5" hidden="1">
      <c r="A267" s="108"/>
      <c r="B267" s="112"/>
      <c r="C267" s="25"/>
      <c r="D267" s="3" t="s">
        <v>48</v>
      </c>
      <c r="E267" s="8">
        <f>E268-E266</f>
        <v>29068.9</v>
      </c>
      <c r="F267" s="8">
        <f>F268-F266</f>
        <v>0</v>
      </c>
      <c r="G267" s="8">
        <f>G268-G266</f>
        <v>0</v>
      </c>
      <c r="H267" s="8">
        <f>H268-H266</f>
        <v>3634.5</v>
      </c>
      <c r="I267" s="8">
        <f t="shared" si="19"/>
        <v>3634.5</v>
      </c>
      <c r="J267" s="8"/>
      <c r="K267" s="8"/>
      <c r="L267" s="8">
        <f t="shared" si="20"/>
        <v>-25434.4</v>
      </c>
      <c r="M267" s="8">
        <f aca="true" t="shared" si="21" ref="M267:M330">H267/E267*100</f>
        <v>12.503053091104238</v>
      </c>
      <c r="N267" s="5"/>
    </row>
    <row r="268" spans="1:14" ht="15.75" hidden="1">
      <c r="A268" s="109"/>
      <c r="B268" s="113"/>
      <c r="C268" s="24"/>
      <c r="D268" s="3" t="s">
        <v>67</v>
      </c>
      <c r="E268" s="8">
        <f>SUM(E256:E258,E261:E266)</f>
        <v>29068.9</v>
      </c>
      <c r="F268" s="8">
        <f>SUM(F256:F258,F261:F266)</f>
        <v>0</v>
      </c>
      <c r="G268" s="8">
        <f>SUM(G256:G258,G261:G266)</f>
        <v>0</v>
      </c>
      <c r="H268" s="8">
        <f>SUM(H256:H258,H261:H266)</f>
        <v>3398.6</v>
      </c>
      <c r="I268" s="8">
        <f t="shared" si="19"/>
        <v>3398.6</v>
      </c>
      <c r="J268" s="8"/>
      <c r="K268" s="8"/>
      <c r="L268" s="8">
        <f t="shared" si="20"/>
        <v>-25670.300000000003</v>
      </c>
      <c r="M268" s="8">
        <f t="shared" si="21"/>
        <v>11.691532875340998</v>
      </c>
      <c r="N268" s="5"/>
    </row>
    <row r="269" spans="1:13" ht="267.75" hidden="1">
      <c r="A269" s="100" t="s">
        <v>118</v>
      </c>
      <c r="B269" s="103" t="s">
        <v>119</v>
      </c>
      <c r="C269" s="23" t="s">
        <v>20</v>
      </c>
      <c r="D269" s="47" t="s">
        <v>21</v>
      </c>
      <c r="E269" s="33">
        <v>653.3</v>
      </c>
      <c r="F269" s="33"/>
      <c r="G269" s="33"/>
      <c r="H269" s="33">
        <v>453.2</v>
      </c>
      <c r="I269" s="33">
        <f t="shared" si="19"/>
        <v>453.2</v>
      </c>
      <c r="J269" s="33"/>
      <c r="K269" s="33"/>
      <c r="L269" s="33">
        <f t="shared" si="20"/>
        <v>-200.09999999999997</v>
      </c>
      <c r="M269" s="33">
        <f t="shared" si="21"/>
        <v>69.37088626970764</v>
      </c>
    </row>
    <row r="270" spans="1:13" ht="267.75" hidden="1">
      <c r="A270" s="104"/>
      <c r="B270" s="106"/>
      <c r="C270" s="23" t="s">
        <v>28</v>
      </c>
      <c r="D270" s="34" t="s">
        <v>29</v>
      </c>
      <c r="E270" s="33">
        <f>SUM(E271:E272)</f>
        <v>2.2</v>
      </c>
      <c r="F270" s="33">
        <f>SUM(F271:F272)</f>
        <v>0</v>
      </c>
      <c r="G270" s="33">
        <f>SUM(G271:G272)</f>
        <v>0</v>
      </c>
      <c r="H270" s="33">
        <f>SUM(H271:H272)</f>
        <v>0</v>
      </c>
      <c r="I270" s="33">
        <f t="shared" si="19"/>
        <v>0</v>
      </c>
      <c r="J270" s="33"/>
      <c r="K270" s="33"/>
      <c r="L270" s="33">
        <f t="shared" si="20"/>
        <v>-2.2</v>
      </c>
      <c r="M270" s="33">
        <f t="shared" si="21"/>
        <v>0</v>
      </c>
    </row>
    <row r="271" spans="1:13" ht="31.5" hidden="1">
      <c r="A271" s="104"/>
      <c r="B271" s="106"/>
      <c r="C271" s="22" t="s">
        <v>52</v>
      </c>
      <c r="D271" s="36" t="s">
        <v>53</v>
      </c>
      <c r="E271" s="33"/>
      <c r="F271" s="33"/>
      <c r="G271" s="33"/>
      <c r="H271" s="33"/>
      <c r="I271" s="33">
        <f t="shared" si="19"/>
        <v>0</v>
      </c>
      <c r="J271" s="33"/>
      <c r="K271" s="33"/>
      <c r="L271" s="33">
        <f t="shared" si="20"/>
        <v>0</v>
      </c>
      <c r="M271" s="33" t="e">
        <f t="shared" si="21"/>
        <v>#DIV/0!</v>
      </c>
    </row>
    <row r="272" spans="1:13" ht="47.25" hidden="1">
      <c r="A272" s="104"/>
      <c r="B272" s="106"/>
      <c r="C272" s="22" t="s">
        <v>32</v>
      </c>
      <c r="D272" s="36" t="s">
        <v>33</v>
      </c>
      <c r="E272" s="33">
        <v>2.2</v>
      </c>
      <c r="F272" s="33">
        <f>2050.9-2050.9</f>
        <v>0</v>
      </c>
      <c r="G272" s="33"/>
      <c r="H272" s="33"/>
      <c r="I272" s="33">
        <f t="shared" si="19"/>
        <v>0</v>
      </c>
      <c r="J272" s="33"/>
      <c r="K272" s="33"/>
      <c r="L272" s="33">
        <f t="shared" si="20"/>
        <v>-2.2</v>
      </c>
      <c r="M272" s="33">
        <f t="shared" si="21"/>
        <v>0</v>
      </c>
    </row>
    <row r="273" spans="1:13" ht="267.75" hidden="1">
      <c r="A273" s="104"/>
      <c r="B273" s="106"/>
      <c r="C273" s="23" t="s">
        <v>34</v>
      </c>
      <c r="D273" s="34" t="s">
        <v>35</v>
      </c>
      <c r="E273" s="33"/>
      <c r="F273" s="33"/>
      <c r="G273" s="33"/>
      <c r="H273" s="33"/>
      <c r="I273" s="33">
        <f t="shared" si="19"/>
        <v>0</v>
      </c>
      <c r="J273" s="33"/>
      <c r="K273" s="33"/>
      <c r="L273" s="33">
        <f t="shared" si="20"/>
        <v>0</v>
      </c>
      <c r="M273" s="33" t="e">
        <f t="shared" si="21"/>
        <v>#DIV/0!</v>
      </c>
    </row>
    <row r="274" spans="1:13" ht="267.75" hidden="1">
      <c r="A274" s="104"/>
      <c r="B274" s="106"/>
      <c r="C274" s="23" t="s">
        <v>36</v>
      </c>
      <c r="D274" s="34" t="s">
        <v>37</v>
      </c>
      <c r="E274" s="33"/>
      <c r="F274" s="33"/>
      <c r="G274" s="33"/>
      <c r="H274" s="33">
        <v>11.4</v>
      </c>
      <c r="I274" s="33">
        <f t="shared" si="19"/>
        <v>11.4</v>
      </c>
      <c r="J274" s="33"/>
      <c r="K274" s="33"/>
      <c r="L274" s="33">
        <f t="shared" si="20"/>
        <v>11.4</v>
      </c>
      <c r="M274" s="33"/>
    </row>
    <row r="275" spans="1:13" ht="267.75" hidden="1">
      <c r="A275" s="104"/>
      <c r="B275" s="106"/>
      <c r="C275" s="23" t="s">
        <v>39</v>
      </c>
      <c r="D275" s="34" t="s">
        <v>120</v>
      </c>
      <c r="E275" s="33">
        <v>27440.2</v>
      </c>
      <c r="F275" s="33">
        <f>764816+9678.3+40475.5+509880+240527.5-509880</f>
        <v>1055497.3</v>
      </c>
      <c r="G275" s="33">
        <v>156848</v>
      </c>
      <c r="H275" s="33"/>
      <c r="I275" s="33">
        <f t="shared" si="19"/>
        <v>-156848</v>
      </c>
      <c r="J275" s="33">
        <f aca="true" t="shared" si="22" ref="J275:J338">H275/G275*100</f>
        <v>0</v>
      </c>
      <c r="K275" s="33">
        <f aca="true" t="shared" si="23" ref="K275:K338">H275/F275*100</f>
        <v>0</v>
      </c>
      <c r="L275" s="33">
        <f t="shared" si="20"/>
        <v>-27440.2</v>
      </c>
      <c r="M275" s="33">
        <f t="shared" si="21"/>
        <v>0</v>
      </c>
    </row>
    <row r="276" spans="1:13" ht="267.75" hidden="1">
      <c r="A276" s="104"/>
      <c r="B276" s="106"/>
      <c r="C276" s="23" t="s">
        <v>41</v>
      </c>
      <c r="D276" s="34" t="s">
        <v>91</v>
      </c>
      <c r="E276" s="33">
        <v>16.7</v>
      </c>
      <c r="F276" s="33"/>
      <c r="G276" s="33"/>
      <c r="H276" s="33"/>
      <c r="I276" s="33">
        <f t="shared" si="19"/>
        <v>0</v>
      </c>
      <c r="J276" s="33"/>
      <c r="K276" s="33"/>
      <c r="L276" s="33">
        <f t="shared" si="20"/>
        <v>-16.7</v>
      </c>
      <c r="M276" s="33">
        <f t="shared" si="21"/>
        <v>0</v>
      </c>
    </row>
    <row r="277" spans="1:13" ht="267.75" hidden="1">
      <c r="A277" s="104"/>
      <c r="B277" s="106"/>
      <c r="C277" s="23" t="s">
        <v>43</v>
      </c>
      <c r="D277" s="34" t="s">
        <v>38</v>
      </c>
      <c r="E277" s="33">
        <v>-0.5</v>
      </c>
      <c r="F277" s="33"/>
      <c r="G277" s="33"/>
      <c r="H277" s="33">
        <v>-6304.2</v>
      </c>
      <c r="I277" s="33">
        <f t="shared" si="19"/>
        <v>-6304.2</v>
      </c>
      <c r="J277" s="33"/>
      <c r="K277" s="33"/>
      <c r="L277" s="33">
        <f t="shared" si="20"/>
        <v>-6303.7</v>
      </c>
      <c r="M277" s="33">
        <f t="shared" si="21"/>
        <v>1260840</v>
      </c>
    </row>
    <row r="278" spans="1:14" ht="31.5" hidden="1">
      <c r="A278" s="104"/>
      <c r="B278" s="106"/>
      <c r="C278" s="25"/>
      <c r="D278" s="3" t="s">
        <v>48</v>
      </c>
      <c r="E278" s="4">
        <f>E279-E277</f>
        <v>28112.4</v>
      </c>
      <c r="F278" s="4">
        <f>F279-F277</f>
        <v>1055497.3</v>
      </c>
      <c r="G278" s="4">
        <f>G279-G277</f>
        <v>156848</v>
      </c>
      <c r="H278" s="4">
        <f>H279-H277</f>
        <v>464.60000000000036</v>
      </c>
      <c r="I278" s="4">
        <f t="shared" si="19"/>
        <v>-156383.4</v>
      </c>
      <c r="J278" s="4">
        <f t="shared" si="22"/>
        <v>0.2962103437723148</v>
      </c>
      <c r="K278" s="4">
        <f t="shared" si="23"/>
        <v>0.044017166126336875</v>
      </c>
      <c r="L278" s="4">
        <f t="shared" si="20"/>
        <v>-27647.800000000003</v>
      </c>
      <c r="M278" s="4">
        <f t="shared" si="21"/>
        <v>1.6526514989826566</v>
      </c>
      <c r="N278" s="5"/>
    </row>
    <row r="279" spans="1:14" ht="15.75" hidden="1">
      <c r="A279" s="105"/>
      <c r="B279" s="107"/>
      <c r="C279" s="25"/>
      <c r="D279" s="3" t="s">
        <v>67</v>
      </c>
      <c r="E279" s="4">
        <f>SUM(E269:E270,E273:E277)</f>
        <v>28111.9</v>
      </c>
      <c r="F279" s="4">
        <f>SUM(F269:F270,F273:F277)</f>
        <v>1055497.3</v>
      </c>
      <c r="G279" s="4">
        <f>SUM(G269:G270,G273:G277)</f>
        <v>156848</v>
      </c>
      <c r="H279" s="4">
        <f>SUM(H269:H270,H273:H277)</f>
        <v>-5839.599999999999</v>
      </c>
      <c r="I279" s="4">
        <f t="shared" si="19"/>
        <v>-162687.6</v>
      </c>
      <c r="J279" s="4">
        <f t="shared" si="22"/>
        <v>-3.7230949709272667</v>
      </c>
      <c r="K279" s="4">
        <f t="shared" si="23"/>
        <v>-0.5532557970541468</v>
      </c>
      <c r="L279" s="4">
        <f t="shared" si="20"/>
        <v>-33951.5</v>
      </c>
      <c r="M279" s="4">
        <f t="shared" si="21"/>
        <v>-20.772697683187545</v>
      </c>
      <c r="N279" s="5"/>
    </row>
    <row r="280" spans="1:14" ht="267.75" hidden="1">
      <c r="A280" s="100" t="s">
        <v>121</v>
      </c>
      <c r="B280" s="103" t="s">
        <v>122</v>
      </c>
      <c r="C280" s="23" t="s">
        <v>20</v>
      </c>
      <c r="D280" s="47" t="s">
        <v>21</v>
      </c>
      <c r="E280" s="33">
        <v>14005.3</v>
      </c>
      <c r="F280" s="33"/>
      <c r="G280" s="33"/>
      <c r="H280" s="33">
        <v>494.4</v>
      </c>
      <c r="I280" s="33">
        <f t="shared" si="19"/>
        <v>494.4</v>
      </c>
      <c r="J280" s="33"/>
      <c r="K280" s="33"/>
      <c r="L280" s="33">
        <f t="shared" si="20"/>
        <v>-13510.9</v>
      </c>
      <c r="M280" s="33">
        <f t="shared" si="21"/>
        <v>3.5300921793892313</v>
      </c>
      <c r="N280" s="5"/>
    </row>
    <row r="281" spans="1:14" ht="267.75" hidden="1">
      <c r="A281" s="104"/>
      <c r="B281" s="106"/>
      <c r="C281" s="23" t="s">
        <v>34</v>
      </c>
      <c r="D281" s="34" t="s">
        <v>35</v>
      </c>
      <c r="E281" s="33">
        <v>-855.2</v>
      </c>
      <c r="F281" s="33"/>
      <c r="G281" s="33"/>
      <c r="H281" s="33">
        <v>-408.8</v>
      </c>
      <c r="I281" s="33">
        <f t="shared" si="19"/>
        <v>-408.8</v>
      </c>
      <c r="J281" s="33"/>
      <c r="K281" s="33"/>
      <c r="L281" s="33">
        <f t="shared" si="20"/>
        <v>446.40000000000003</v>
      </c>
      <c r="M281" s="33">
        <f t="shared" si="21"/>
        <v>47.80168381665108</v>
      </c>
      <c r="N281" s="5"/>
    </row>
    <row r="282" spans="1:14" ht="267.75" hidden="1">
      <c r="A282" s="108"/>
      <c r="B282" s="108"/>
      <c r="C282" s="23" t="s">
        <v>36</v>
      </c>
      <c r="D282" s="34" t="s">
        <v>123</v>
      </c>
      <c r="E282" s="33">
        <v>100404.2</v>
      </c>
      <c r="F282" s="33">
        <v>136506.4</v>
      </c>
      <c r="G282" s="33">
        <v>77462.3</v>
      </c>
      <c r="H282" s="33">
        <v>15883.2</v>
      </c>
      <c r="I282" s="33">
        <f t="shared" si="19"/>
        <v>-61579.100000000006</v>
      </c>
      <c r="J282" s="33">
        <f t="shared" si="22"/>
        <v>20.504426024014265</v>
      </c>
      <c r="K282" s="33">
        <f t="shared" si="23"/>
        <v>11.635498408865812</v>
      </c>
      <c r="L282" s="33">
        <f t="shared" si="20"/>
        <v>-84521</v>
      </c>
      <c r="M282" s="33">
        <f t="shared" si="21"/>
        <v>15.81925855691296</v>
      </c>
      <c r="N282" s="5"/>
    </row>
    <row r="283" spans="1:14" ht="267.75" hidden="1">
      <c r="A283" s="108"/>
      <c r="B283" s="108"/>
      <c r="C283" s="23" t="s">
        <v>41</v>
      </c>
      <c r="D283" s="34" t="s">
        <v>91</v>
      </c>
      <c r="E283" s="33">
        <v>23.5</v>
      </c>
      <c r="F283" s="33">
        <v>25.7</v>
      </c>
      <c r="G283" s="33">
        <v>25.7</v>
      </c>
      <c r="H283" s="33">
        <v>25.7</v>
      </c>
      <c r="I283" s="33">
        <f t="shared" si="19"/>
        <v>0</v>
      </c>
      <c r="J283" s="33">
        <f t="shared" si="22"/>
        <v>100</v>
      </c>
      <c r="K283" s="33">
        <f t="shared" si="23"/>
        <v>100</v>
      </c>
      <c r="L283" s="33">
        <f t="shared" si="20"/>
        <v>2.1999999999999993</v>
      </c>
      <c r="M283" s="33">
        <f t="shared" si="21"/>
        <v>109.36170212765957</v>
      </c>
      <c r="N283" s="5"/>
    </row>
    <row r="284" spans="1:14" ht="267.75" hidden="1">
      <c r="A284" s="108"/>
      <c r="B284" s="108"/>
      <c r="C284" s="23" t="s">
        <v>59</v>
      </c>
      <c r="D284" s="36" t="s">
        <v>60</v>
      </c>
      <c r="E284" s="33"/>
      <c r="F284" s="33">
        <v>4924.9</v>
      </c>
      <c r="G284" s="33">
        <v>1641.6</v>
      </c>
      <c r="H284" s="33"/>
      <c r="I284" s="33">
        <f t="shared" si="19"/>
        <v>-1641.6</v>
      </c>
      <c r="J284" s="33"/>
      <c r="K284" s="33">
        <f t="shared" si="23"/>
        <v>0</v>
      </c>
      <c r="L284" s="33">
        <f t="shared" si="20"/>
        <v>0</v>
      </c>
      <c r="M284" s="33"/>
      <c r="N284" s="5"/>
    </row>
    <row r="285" spans="1:14" ht="267.75" hidden="1">
      <c r="A285" s="108"/>
      <c r="B285" s="108"/>
      <c r="C285" s="23" t="s">
        <v>43</v>
      </c>
      <c r="D285" s="34" t="s">
        <v>38</v>
      </c>
      <c r="E285" s="33">
        <v>-591.6</v>
      </c>
      <c r="F285" s="33"/>
      <c r="G285" s="33"/>
      <c r="H285" s="33">
        <v>-14824.4</v>
      </c>
      <c r="I285" s="33">
        <f t="shared" si="19"/>
        <v>-14824.4</v>
      </c>
      <c r="J285" s="33"/>
      <c r="K285" s="33"/>
      <c r="L285" s="33">
        <f t="shared" si="20"/>
        <v>-14232.8</v>
      </c>
      <c r="M285" s="33">
        <f t="shared" si="21"/>
        <v>2505.814739688979</v>
      </c>
      <c r="N285" s="5"/>
    </row>
    <row r="286" spans="1:14" ht="15.75" hidden="1">
      <c r="A286" s="108"/>
      <c r="B286" s="108"/>
      <c r="C286" s="25"/>
      <c r="D286" s="3" t="s">
        <v>44</v>
      </c>
      <c r="E286" s="4">
        <f>SUM(E280:E285)</f>
        <v>112986.19999999998</v>
      </c>
      <c r="F286" s="4">
        <f>SUM(F280:F285)</f>
        <v>141457</v>
      </c>
      <c r="G286" s="4">
        <f>SUM(G280:G285)</f>
        <v>79129.6</v>
      </c>
      <c r="H286" s="4">
        <f>SUM(H280:H285)</f>
        <v>1170.1000000000022</v>
      </c>
      <c r="I286" s="4">
        <f t="shared" si="19"/>
        <v>-77959.5</v>
      </c>
      <c r="J286" s="4">
        <f t="shared" si="22"/>
        <v>1.478713401811714</v>
      </c>
      <c r="K286" s="4">
        <f t="shared" si="23"/>
        <v>0.827177163378272</v>
      </c>
      <c r="L286" s="4">
        <f t="shared" si="20"/>
        <v>-111816.09999999998</v>
      </c>
      <c r="M286" s="4">
        <f t="shared" si="21"/>
        <v>1.03561319878003</v>
      </c>
      <c r="N286" s="5"/>
    </row>
    <row r="287" spans="1:13" ht="267.75" hidden="1">
      <c r="A287" s="108"/>
      <c r="B287" s="108"/>
      <c r="C287" s="23" t="s">
        <v>124</v>
      </c>
      <c r="D287" s="50" t="s">
        <v>125</v>
      </c>
      <c r="E287" s="33">
        <v>402124.2</v>
      </c>
      <c r="F287" s="33">
        <f>198120.2+703953.2</f>
        <v>902073.3999999999</v>
      </c>
      <c r="G287" s="33">
        <f>120684.3+61140.4</f>
        <v>181824.7</v>
      </c>
      <c r="H287" s="33">
        <f>102974.1+47723.8</f>
        <v>150697.90000000002</v>
      </c>
      <c r="I287" s="33">
        <f t="shared" si="19"/>
        <v>-31126.79999999999</v>
      </c>
      <c r="J287" s="33">
        <f t="shared" si="22"/>
        <v>82.88087372067712</v>
      </c>
      <c r="K287" s="33">
        <f t="shared" si="23"/>
        <v>16.70572483347808</v>
      </c>
      <c r="L287" s="33">
        <f t="shared" si="20"/>
        <v>-251426.3</v>
      </c>
      <c r="M287" s="33">
        <f t="shared" si="21"/>
        <v>37.4754615613783</v>
      </c>
    </row>
    <row r="288" spans="1:13" ht="267.75" hidden="1">
      <c r="A288" s="108"/>
      <c r="B288" s="108"/>
      <c r="C288" s="23" t="s">
        <v>126</v>
      </c>
      <c r="D288" s="34" t="s">
        <v>127</v>
      </c>
      <c r="E288" s="33">
        <v>99878.8</v>
      </c>
      <c r="F288" s="33">
        <v>187783.8</v>
      </c>
      <c r="G288" s="33">
        <v>106119.6</v>
      </c>
      <c r="H288" s="33">
        <v>123705.9</v>
      </c>
      <c r="I288" s="33">
        <f t="shared" si="19"/>
        <v>17586.29999999999</v>
      </c>
      <c r="J288" s="33">
        <f t="shared" si="22"/>
        <v>116.57215066773713</v>
      </c>
      <c r="K288" s="33">
        <f t="shared" si="23"/>
        <v>65.87676892255881</v>
      </c>
      <c r="L288" s="33">
        <f t="shared" si="20"/>
        <v>23827.09999999999</v>
      </c>
      <c r="M288" s="33">
        <f t="shared" si="21"/>
        <v>123.85601348834787</v>
      </c>
    </row>
    <row r="289" spans="1:13" ht="267.75" hidden="1">
      <c r="A289" s="108"/>
      <c r="B289" s="108"/>
      <c r="C289" s="23" t="s">
        <v>28</v>
      </c>
      <c r="D289" s="34" t="s">
        <v>29</v>
      </c>
      <c r="E289" s="33">
        <f>E290+E291</f>
        <v>34706.4</v>
      </c>
      <c r="F289" s="33">
        <f>F290+F291</f>
        <v>80770.8</v>
      </c>
      <c r="G289" s="33">
        <f>G290+G291</f>
        <v>38962.3</v>
      </c>
      <c r="H289" s="33">
        <f>H290+H291</f>
        <v>38147.4</v>
      </c>
      <c r="I289" s="33">
        <f t="shared" si="19"/>
        <v>-814.9000000000015</v>
      </c>
      <c r="J289" s="33">
        <f t="shared" si="22"/>
        <v>97.90849102850704</v>
      </c>
      <c r="K289" s="33">
        <f t="shared" si="23"/>
        <v>47.22919668989288</v>
      </c>
      <c r="L289" s="33">
        <f t="shared" si="20"/>
        <v>3441</v>
      </c>
      <c r="M289" s="33">
        <f t="shared" si="21"/>
        <v>109.91459788396376</v>
      </c>
    </row>
    <row r="290" spans="1:14" ht="31.5" hidden="1">
      <c r="A290" s="108"/>
      <c r="B290" s="108"/>
      <c r="C290" s="22" t="s">
        <v>128</v>
      </c>
      <c r="D290" s="36" t="s">
        <v>129</v>
      </c>
      <c r="E290" s="33">
        <v>34637.9</v>
      </c>
      <c r="F290" s="33">
        <v>80638.8</v>
      </c>
      <c r="G290" s="33">
        <v>38885.3</v>
      </c>
      <c r="H290" s="33">
        <v>37994</v>
      </c>
      <c r="I290" s="33">
        <f t="shared" si="19"/>
        <v>-891.3000000000029</v>
      </c>
      <c r="J290" s="33">
        <f t="shared" si="22"/>
        <v>97.70787418381752</v>
      </c>
      <c r="K290" s="33">
        <f t="shared" si="23"/>
        <v>47.11627653189284</v>
      </c>
      <c r="L290" s="33">
        <f t="shared" si="20"/>
        <v>3356.0999999999985</v>
      </c>
      <c r="M290" s="33">
        <f t="shared" si="21"/>
        <v>109.68909778017719</v>
      </c>
      <c r="N290" s="5"/>
    </row>
    <row r="291" spans="1:14" ht="47.25" hidden="1">
      <c r="A291" s="108"/>
      <c r="B291" s="108"/>
      <c r="C291" s="22" t="s">
        <v>32</v>
      </c>
      <c r="D291" s="36" t="s">
        <v>33</v>
      </c>
      <c r="E291" s="33">
        <v>68.5</v>
      </c>
      <c r="F291" s="33">
        <v>132</v>
      </c>
      <c r="G291" s="33">
        <v>77</v>
      </c>
      <c r="H291" s="33">
        <v>153.4</v>
      </c>
      <c r="I291" s="33">
        <f t="shared" si="19"/>
        <v>76.4</v>
      </c>
      <c r="J291" s="33">
        <f t="shared" si="22"/>
        <v>199.22077922077924</v>
      </c>
      <c r="K291" s="33">
        <f t="shared" si="23"/>
        <v>116.21212121212122</v>
      </c>
      <c r="L291" s="33">
        <f t="shared" si="20"/>
        <v>84.9</v>
      </c>
      <c r="M291" s="33">
        <f t="shared" si="21"/>
        <v>223.94160583941604</v>
      </c>
      <c r="N291" s="5"/>
    </row>
    <row r="292" spans="1:14" ht="15.75" hidden="1">
      <c r="A292" s="108"/>
      <c r="B292" s="108"/>
      <c r="C292" s="25"/>
      <c r="D292" s="3" t="s">
        <v>47</v>
      </c>
      <c r="E292" s="4">
        <f>SUM(E287:E289)</f>
        <v>536709.4</v>
      </c>
      <c r="F292" s="4">
        <f>SUM(F287:F289)</f>
        <v>1170628</v>
      </c>
      <c r="G292" s="4">
        <f>SUM(G287:G289)</f>
        <v>326906.60000000003</v>
      </c>
      <c r="H292" s="4">
        <f>SUM(H287:H289)</f>
        <v>312551.20000000007</v>
      </c>
      <c r="I292" s="4">
        <f t="shared" si="19"/>
        <v>-14355.399999999965</v>
      </c>
      <c r="J292" s="4">
        <f t="shared" si="22"/>
        <v>95.6087151498318</v>
      </c>
      <c r="K292" s="4">
        <f t="shared" si="23"/>
        <v>26.699446792661725</v>
      </c>
      <c r="L292" s="4">
        <f t="shared" si="20"/>
        <v>-224158.19999999995</v>
      </c>
      <c r="M292" s="4">
        <f t="shared" si="21"/>
        <v>58.2347169622891</v>
      </c>
      <c r="N292" s="5"/>
    </row>
    <row r="293" spans="1:14" ht="31.5" hidden="1">
      <c r="A293" s="108"/>
      <c r="B293" s="108"/>
      <c r="C293" s="25"/>
      <c r="D293" s="3" t="s">
        <v>48</v>
      </c>
      <c r="E293" s="4">
        <f>E294-E285</f>
        <v>650287.2</v>
      </c>
      <c r="F293" s="4">
        <f>F294-F285</f>
        <v>1312085</v>
      </c>
      <c r="G293" s="4">
        <f>G294-G285</f>
        <v>406036.20000000007</v>
      </c>
      <c r="H293" s="4">
        <f>H294-H285</f>
        <v>328545.70000000007</v>
      </c>
      <c r="I293" s="4">
        <f t="shared" si="19"/>
        <v>-77490.5</v>
      </c>
      <c r="J293" s="4">
        <f t="shared" si="22"/>
        <v>80.91537158509513</v>
      </c>
      <c r="K293" s="4">
        <f t="shared" si="23"/>
        <v>25.039970733603393</v>
      </c>
      <c r="L293" s="4">
        <f t="shared" si="20"/>
        <v>-321741.4999999999</v>
      </c>
      <c r="M293" s="4">
        <f t="shared" si="21"/>
        <v>50.52316883986031</v>
      </c>
      <c r="N293" s="5"/>
    </row>
    <row r="294" spans="1:14" ht="15.75" hidden="1">
      <c r="A294" s="109"/>
      <c r="B294" s="109"/>
      <c r="C294" s="25"/>
      <c r="D294" s="3" t="s">
        <v>67</v>
      </c>
      <c r="E294" s="4">
        <f>E286+E292</f>
        <v>649695.6</v>
      </c>
      <c r="F294" s="4">
        <f>F286+F292</f>
        <v>1312085</v>
      </c>
      <c r="G294" s="4">
        <f>G286+G292</f>
        <v>406036.20000000007</v>
      </c>
      <c r="H294" s="4">
        <f>H286+H292</f>
        <v>313721.30000000005</v>
      </c>
      <c r="I294" s="4">
        <f t="shared" si="19"/>
        <v>-92314.90000000002</v>
      </c>
      <c r="J294" s="4">
        <f t="shared" si="22"/>
        <v>77.26436706874904</v>
      </c>
      <c r="K294" s="4">
        <f t="shared" si="23"/>
        <v>23.910135395191627</v>
      </c>
      <c r="L294" s="4">
        <f t="shared" si="20"/>
        <v>-335974.29999999993</v>
      </c>
      <c r="M294" s="4">
        <f t="shared" si="21"/>
        <v>48.28742875894497</v>
      </c>
      <c r="N294" s="5"/>
    </row>
    <row r="295" spans="1:14" ht="267.75" hidden="1">
      <c r="A295" s="100" t="s">
        <v>130</v>
      </c>
      <c r="B295" s="103" t="s">
        <v>131</v>
      </c>
      <c r="C295" s="23" t="s">
        <v>20</v>
      </c>
      <c r="D295" s="47" t="s">
        <v>21</v>
      </c>
      <c r="E295" s="33">
        <v>15.3</v>
      </c>
      <c r="F295" s="4"/>
      <c r="G295" s="4"/>
      <c r="H295" s="33"/>
      <c r="I295" s="33">
        <f t="shared" si="19"/>
        <v>0</v>
      </c>
      <c r="J295" s="33"/>
      <c r="K295" s="33"/>
      <c r="L295" s="33">
        <f t="shared" si="20"/>
        <v>-15.3</v>
      </c>
      <c r="M295" s="33">
        <f t="shared" si="21"/>
        <v>0</v>
      </c>
      <c r="N295" s="5"/>
    </row>
    <row r="296" spans="1:14" ht="267.75" hidden="1">
      <c r="A296" s="104"/>
      <c r="B296" s="106"/>
      <c r="C296" s="23" t="s">
        <v>34</v>
      </c>
      <c r="D296" s="34" t="s">
        <v>35</v>
      </c>
      <c r="E296" s="33"/>
      <c r="F296" s="4"/>
      <c r="G296" s="4"/>
      <c r="H296" s="33"/>
      <c r="I296" s="33">
        <f t="shared" si="19"/>
        <v>0</v>
      </c>
      <c r="J296" s="33" t="e">
        <f t="shared" si="22"/>
        <v>#DIV/0!</v>
      </c>
      <c r="K296" s="33" t="e">
        <f t="shared" si="23"/>
        <v>#DIV/0!</v>
      </c>
      <c r="L296" s="33">
        <f t="shared" si="20"/>
        <v>0</v>
      </c>
      <c r="M296" s="33" t="e">
        <f t="shared" si="21"/>
        <v>#DIV/0!</v>
      </c>
      <c r="N296" s="5"/>
    </row>
    <row r="297" spans="1:14" ht="267.75" hidden="1">
      <c r="A297" s="104"/>
      <c r="B297" s="106"/>
      <c r="C297" s="23" t="s">
        <v>59</v>
      </c>
      <c r="D297" s="36" t="s">
        <v>60</v>
      </c>
      <c r="E297" s="33"/>
      <c r="F297" s="33"/>
      <c r="G297" s="33"/>
      <c r="H297" s="33"/>
      <c r="I297" s="33">
        <f t="shared" si="19"/>
        <v>0</v>
      </c>
      <c r="J297" s="33" t="e">
        <f t="shared" si="22"/>
        <v>#DIV/0!</v>
      </c>
      <c r="K297" s="33" t="e">
        <f t="shared" si="23"/>
        <v>#DIV/0!</v>
      </c>
      <c r="L297" s="33">
        <f t="shared" si="20"/>
        <v>0</v>
      </c>
      <c r="M297" s="33" t="e">
        <f t="shared" si="21"/>
        <v>#DIV/0!</v>
      </c>
      <c r="N297" s="5"/>
    </row>
    <row r="298" spans="1:14" ht="267.75" hidden="1">
      <c r="A298" s="104"/>
      <c r="B298" s="106"/>
      <c r="C298" s="23" t="s">
        <v>43</v>
      </c>
      <c r="D298" s="34" t="s">
        <v>38</v>
      </c>
      <c r="E298" s="33">
        <v>-674.2</v>
      </c>
      <c r="F298" s="33"/>
      <c r="G298" s="33"/>
      <c r="H298" s="33">
        <v>-216.6</v>
      </c>
      <c r="I298" s="33">
        <f t="shared" si="19"/>
        <v>-216.6</v>
      </c>
      <c r="J298" s="33"/>
      <c r="K298" s="33"/>
      <c r="L298" s="33">
        <f t="shared" si="20"/>
        <v>457.6</v>
      </c>
      <c r="M298" s="33">
        <f t="shared" si="21"/>
        <v>32.12696529219816</v>
      </c>
      <c r="N298" s="5"/>
    </row>
    <row r="299" spans="1:14" ht="15.75" hidden="1">
      <c r="A299" s="108"/>
      <c r="B299" s="108"/>
      <c r="C299" s="25"/>
      <c r="D299" s="3" t="s">
        <v>44</v>
      </c>
      <c r="E299" s="4">
        <f>SUM(E295:E298)</f>
        <v>-658.9000000000001</v>
      </c>
      <c r="F299" s="4">
        <f>SUM(F295:F298)</f>
        <v>0</v>
      </c>
      <c r="G299" s="4">
        <f>SUM(G295:G298)</f>
        <v>0</v>
      </c>
      <c r="H299" s="4">
        <f>SUM(H295:H298)</f>
        <v>-216.6</v>
      </c>
      <c r="I299" s="4">
        <f t="shared" si="19"/>
        <v>-216.6</v>
      </c>
      <c r="J299" s="4"/>
      <c r="K299" s="4"/>
      <c r="L299" s="4">
        <f t="shared" si="20"/>
        <v>442.30000000000007</v>
      </c>
      <c r="M299" s="4">
        <f t="shared" si="21"/>
        <v>32.87297010168462</v>
      </c>
      <c r="N299" s="5"/>
    </row>
    <row r="300" spans="1:13" ht="267.75" hidden="1">
      <c r="A300" s="108"/>
      <c r="B300" s="108"/>
      <c r="C300" s="23" t="s">
        <v>132</v>
      </c>
      <c r="D300" s="34" t="s">
        <v>133</v>
      </c>
      <c r="E300" s="33">
        <v>3441988.8</v>
      </c>
      <c r="F300" s="54">
        <f>153835.9+458.3+6490621.1+117011.9+6050.2+14629.9+268.8+49192.7</f>
        <v>6832068.800000001</v>
      </c>
      <c r="G300" s="33">
        <v>3740840.6</v>
      </c>
      <c r="H300" s="33">
        <f>118937+341.5+3721465.5+95597.2+4755+6026.5-0.2+460.4+1779.3</f>
        <v>3949362.1999999997</v>
      </c>
      <c r="I300" s="33">
        <f t="shared" si="19"/>
        <v>208521.59999999963</v>
      </c>
      <c r="J300" s="33">
        <f t="shared" si="22"/>
        <v>105.57419099867553</v>
      </c>
      <c r="K300" s="33">
        <f t="shared" si="23"/>
        <v>57.80624164674687</v>
      </c>
      <c r="L300" s="33">
        <f t="shared" si="20"/>
        <v>507373.3999999999</v>
      </c>
      <c r="M300" s="33">
        <f t="shared" si="21"/>
        <v>114.74070456010782</v>
      </c>
    </row>
    <row r="301" spans="1:13" ht="267.75" hidden="1">
      <c r="A301" s="108"/>
      <c r="B301" s="108"/>
      <c r="C301" s="23" t="s">
        <v>210</v>
      </c>
      <c r="D301" s="34" t="s">
        <v>209</v>
      </c>
      <c r="E301" s="33">
        <v>306891.6</v>
      </c>
      <c r="F301" s="33">
        <v>483544</v>
      </c>
      <c r="G301" s="33">
        <f>227749.3+111454.8</f>
        <v>339204.1</v>
      </c>
      <c r="H301" s="33">
        <f>223659.5+111135.9</f>
        <v>334795.4</v>
      </c>
      <c r="I301" s="33">
        <f t="shared" si="19"/>
        <v>-4408.699999999953</v>
      </c>
      <c r="J301" s="33">
        <f t="shared" si="22"/>
        <v>98.70028104023508</v>
      </c>
      <c r="K301" s="33">
        <f t="shared" si="23"/>
        <v>69.23783564680774</v>
      </c>
      <c r="L301" s="33">
        <f t="shared" si="20"/>
        <v>27903.800000000047</v>
      </c>
      <c r="M301" s="33">
        <f t="shared" si="21"/>
        <v>109.09239614248159</v>
      </c>
    </row>
    <row r="302" spans="1:13" ht="267.75" hidden="1">
      <c r="A302" s="108"/>
      <c r="B302" s="108"/>
      <c r="C302" s="23" t="s">
        <v>28</v>
      </c>
      <c r="D302" s="34" t="s">
        <v>29</v>
      </c>
      <c r="E302" s="33">
        <f>E303+E304+E305</f>
        <v>2726.4</v>
      </c>
      <c r="F302" s="33">
        <f>F303+F304+F305</f>
        <v>4346</v>
      </c>
      <c r="G302" s="33">
        <f>G303+G304+G305</f>
        <v>2505.2</v>
      </c>
      <c r="H302" s="33">
        <f>H303+H304+H305</f>
        <v>4862</v>
      </c>
      <c r="I302" s="33">
        <f t="shared" si="19"/>
        <v>2356.8</v>
      </c>
      <c r="J302" s="33">
        <f t="shared" si="22"/>
        <v>194.0763212517963</v>
      </c>
      <c r="K302" s="33">
        <f t="shared" si="23"/>
        <v>111.87298665439485</v>
      </c>
      <c r="L302" s="33">
        <f t="shared" si="20"/>
        <v>2135.6</v>
      </c>
      <c r="M302" s="33">
        <f t="shared" si="21"/>
        <v>178.33039906103286</v>
      </c>
    </row>
    <row r="303" spans="1:13" ht="78.75" hidden="1">
      <c r="A303" s="108"/>
      <c r="B303" s="108"/>
      <c r="C303" s="22" t="s">
        <v>134</v>
      </c>
      <c r="D303" s="36" t="s">
        <v>135</v>
      </c>
      <c r="E303" s="33">
        <v>1114.4</v>
      </c>
      <c r="F303" s="33">
        <v>2000</v>
      </c>
      <c r="G303" s="33">
        <v>1121.8</v>
      </c>
      <c r="H303" s="33">
        <v>2402.6</v>
      </c>
      <c r="I303" s="33">
        <f t="shared" si="19"/>
        <v>1280.8</v>
      </c>
      <c r="J303" s="33">
        <f t="shared" si="22"/>
        <v>214.17364949188803</v>
      </c>
      <c r="K303" s="33">
        <f t="shared" si="23"/>
        <v>120.13000000000001</v>
      </c>
      <c r="L303" s="33">
        <f t="shared" si="20"/>
        <v>1288.1999999999998</v>
      </c>
      <c r="M303" s="33">
        <f t="shared" si="21"/>
        <v>215.5958363244795</v>
      </c>
    </row>
    <row r="304" spans="1:13" ht="63" hidden="1">
      <c r="A304" s="108"/>
      <c r="B304" s="108"/>
      <c r="C304" s="22" t="s">
        <v>136</v>
      </c>
      <c r="D304" s="36" t="s">
        <v>137</v>
      </c>
      <c r="E304" s="33">
        <v>580</v>
      </c>
      <c r="F304" s="33">
        <v>1000</v>
      </c>
      <c r="G304" s="33">
        <v>651.7</v>
      </c>
      <c r="H304" s="33">
        <v>863.9</v>
      </c>
      <c r="I304" s="33">
        <f t="shared" si="19"/>
        <v>212.19999999999993</v>
      </c>
      <c r="J304" s="33">
        <f t="shared" si="22"/>
        <v>132.56099432254103</v>
      </c>
      <c r="K304" s="33">
        <f t="shared" si="23"/>
        <v>86.39</v>
      </c>
      <c r="L304" s="33">
        <f t="shared" si="20"/>
        <v>283.9</v>
      </c>
      <c r="M304" s="33">
        <f t="shared" si="21"/>
        <v>148.94827586206895</v>
      </c>
    </row>
    <row r="305" spans="1:13" ht="47.25" hidden="1">
      <c r="A305" s="108"/>
      <c r="B305" s="108"/>
      <c r="C305" s="22" t="s">
        <v>32</v>
      </c>
      <c r="D305" s="36" t="s">
        <v>33</v>
      </c>
      <c r="E305" s="33">
        <v>1032</v>
      </c>
      <c r="F305" s="33">
        <v>1346</v>
      </c>
      <c r="G305" s="33">
        <v>731.7</v>
      </c>
      <c r="H305" s="33">
        <v>1595.5</v>
      </c>
      <c r="I305" s="33">
        <f t="shared" si="19"/>
        <v>863.8</v>
      </c>
      <c r="J305" s="33">
        <f t="shared" si="22"/>
        <v>218.0538472051387</v>
      </c>
      <c r="K305" s="33">
        <f t="shared" si="23"/>
        <v>118.53640416047548</v>
      </c>
      <c r="L305" s="33">
        <f t="shared" si="20"/>
        <v>563.5</v>
      </c>
      <c r="M305" s="33">
        <f t="shared" si="21"/>
        <v>154.60271317829458</v>
      </c>
    </row>
    <row r="306" spans="1:14" ht="15.75" hidden="1">
      <c r="A306" s="108"/>
      <c r="B306" s="108"/>
      <c r="C306" s="27"/>
      <c r="D306" s="3" t="s">
        <v>47</v>
      </c>
      <c r="E306" s="4">
        <f>SUM(E300:E302)</f>
        <v>3751606.8</v>
      </c>
      <c r="F306" s="4">
        <f>SUM(F300:F302)</f>
        <v>7319958.800000001</v>
      </c>
      <c r="G306" s="4">
        <f>SUM(G300:G302)</f>
        <v>4082549.9000000004</v>
      </c>
      <c r="H306" s="4">
        <f>SUM(H300:H302)</f>
        <v>4289019.6</v>
      </c>
      <c r="I306" s="4">
        <f t="shared" si="19"/>
        <v>206469.69999999925</v>
      </c>
      <c r="J306" s="4">
        <f t="shared" si="22"/>
        <v>105.05737112974415</v>
      </c>
      <c r="K306" s="4">
        <f t="shared" si="23"/>
        <v>58.5934937229428</v>
      </c>
      <c r="L306" s="4">
        <f t="shared" si="20"/>
        <v>537412.7999999998</v>
      </c>
      <c r="M306" s="4">
        <f t="shared" si="21"/>
        <v>114.32487007966824</v>
      </c>
      <c r="N306" s="5"/>
    </row>
    <row r="307" spans="1:14" ht="31.5" hidden="1">
      <c r="A307" s="108"/>
      <c r="B307" s="108"/>
      <c r="C307" s="27"/>
      <c r="D307" s="3" t="s">
        <v>48</v>
      </c>
      <c r="E307" s="4">
        <f>E308-E298</f>
        <v>3751622.1</v>
      </c>
      <c r="F307" s="4">
        <f>F308-F298</f>
        <v>7319958.800000001</v>
      </c>
      <c r="G307" s="4">
        <f>G308-G298</f>
        <v>4082549.9000000004</v>
      </c>
      <c r="H307" s="4">
        <f>H308-H298</f>
        <v>4289019.6</v>
      </c>
      <c r="I307" s="4">
        <f t="shared" si="19"/>
        <v>206469.69999999925</v>
      </c>
      <c r="J307" s="4">
        <f t="shared" si="22"/>
        <v>105.05737112974415</v>
      </c>
      <c r="K307" s="4">
        <f t="shared" si="23"/>
        <v>58.5934937229428</v>
      </c>
      <c r="L307" s="4">
        <f t="shared" si="20"/>
        <v>537397.4999999995</v>
      </c>
      <c r="M307" s="4">
        <f t="shared" si="21"/>
        <v>114.32440383587674</v>
      </c>
      <c r="N307" s="5"/>
    </row>
    <row r="308" spans="1:14" ht="15.75" hidden="1">
      <c r="A308" s="109"/>
      <c r="B308" s="109"/>
      <c r="C308" s="25"/>
      <c r="D308" s="3" t="s">
        <v>67</v>
      </c>
      <c r="E308" s="4">
        <f>E299+E306</f>
        <v>3750947.9</v>
      </c>
      <c r="F308" s="4">
        <f>F299+F306</f>
        <v>7319958.800000001</v>
      </c>
      <c r="G308" s="4">
        <f>G299+G306</f>
        <v>4082549.9000000004</v>
      </c>
      <c r="H308" s="4">
        <f>H299+H306</f>
        <v>4288803</v>
      </c>
      <c r="I308" s="4">
        <f t="shared" si="19"/>
        <v>206253.09999999963</v>
      </c>
      <c r="J308" s="4">
        <f t="shared" si="22"/>
        <v>105.05206562202704</v>
      </c>
      <c r="K308" s="4">
        <f t="shared" si="23"/>
        <v>58.5905346898947</v>
      </c>
      <c r="L308" s="4">
        <f t="shared" si="20"/>
        <v>537855.1000000001</v>
      </c>
      <c r="M308" s="4">
        <f t="shared" si="21"/>
        <v>114.33917810481987</v>
      </c>
      <c r="N308" s="5"/>
    </row>
    <row r="309" spans="1:14" ht="267.75" hidden="1">
      <c r="A309" s="103">
        <v>955</v>
      </c>
      <c r="B309" s="103" t="s">
        <v>138</v>
      </c>
      <c r="C309" s="23" t="s">
        <v>20</v>
      </c>
      <c r="D309" s="47" t="s">
        <v>21</v>
      </c>
      <c r="E309" s="33">
        <v>251.6</v>
      </c>
      <c r="F309" s="4"/>
      <c r="G309" s="4"/>
      <c r="H309" s="33">
        <v>894.5</v>
      </c>
      <c r="I309" s="33">
        <f t="shared" si="19"/>
        <v>894.5</v>
      </c>
      <c r="J309" s="33"/>
      <c r="K309" s="33"/>
      <c r="L309" s="33">
        <f t="shared" si="20"/>
        <v>642.9</v>
      </c>
      <c r="M309" s="33">
        <f t="shared" si="21"/>
        <v>355.5246422893482</v>
      </c>
      <c r="N309" s="5"/>
    </row>
    <row r="310" spans="1:14" ht="267.75" hidden="1">
      <c r="A310" s="108"/>
      <c r="B310" s="108"/>
      <c r="C310" s="23" t="s">
        <v>34</v>
      </c>
      <c r="D310" s="34" t="s">
        <v>35</v>
      </c>
      <c r="E310" s="33">
        <v>14.9</v>
      </c>
      <c r="F310" s="4"/>
      <c r="G310" s="4"/>
      <c r="H310" s="33">
        <v>13.8</v>
      </c>
      <c r="I310" s="33">
        <f t="shared" si="19"/>
        <v>13.8</v>
      </c>
      <c r="J310" s="33"/>
      <c r="K310" s="33"/>
      <c r="L310" s="33">
        <f t="shared" si="20"/>
        <v>-1.0999999999999996</v>
      </c>
      <c r="M310" s="33"/>
      <c r="N310" s="5"/>
    </row>
    <row r="311" spans="1:13" ht="267.75" hidden="1">
      <c r="A311" s="108"/>
      <c r="B311" s="108"/>
      <c r="C311" s="23" t="s">
        <v>39</v>
      </c>
      <c r="D311" s="34" t="s">
        <v>120</v>
      </c>
      <c r="E311" s="52"/>
      <c r="F311" s="52"/>
      <c r="G311" s="52"/>
      <c r="H311" s="52"/>
      <c r="I311" s="52">
        <f t="shared" si="19"/>
        <v>0</v>
      </c>
      <c r="J311" s="52" t="e">
        <f t="shared" si="22"/>
        <v>#DIV/0!</v>
      </c>
      <c r="K311" s="52" t="e">
        <f t="shared" si="23"/>
        <v>#DIV/0!</v>
      </c>
      <c r="L311" s="52">
        <f t="shared" si="20"/>
        <v>0</v>
      </c>
      <c r="M311" s="52" t="e">
        <f t="shared" si="21"/>
        <v>#DIV/0!</v>
      </c>
    </row>
    <row r="312" spans="1:13" ht="267.75" hidden="1">
      <c r="A312" s="108"/>
      <c r="B312" s="108"/>
      <c r="C312" s="23" t="s">
        <v>41</v>
      </c>
      <c r="D312" s="34" t="s">
        <v>91</v>
      </c>
      <c r="E312" s="33">
        <v>46255.5</v>
      </c>
      <c r="F312" s="52">
        <v>97397.6</v>
      </c>
      <c r="G312" s="52">
        <v>71424.9</v>
      </c>
      <c r="H312" s="52">
        <v>97397.6</v>
      </c>
      <c r="I312" s="52">
        <f t="shared" si="19"/>
        <v>25972.70000000001</v>
      </c>
      <c r="J312" s="52">
        <f t="shared" si="22"/>
        <v>136.36364909156333</v>
      </c>
      <c r="K312" s="52">
        <f t="shared" si="23"/>
        <v>100</v>
      </c>
      <c r="L312" s="52">
        <f t="shared" si="20"/>
        <v>51142.100000000006</v>
      </c>
      <c r="M312" s="52"/>
    </row>
    <row r="313" spans="1:13" ht="267.75" hidden="1">
      <c r="A313" s="108"/>
      <c r="B313" s="108"/>
      <c r="C313" s="23" t="s">
        <v>59</v>
      </c>
      <c r="D313" s="36" t="s">
        <v>60</v>
      </c>
      <c r="E313" s="52"/>
      <c r="F313" s="52"/>
      <c r="G313" s="52"/>
      <c r="H313" s="52"/>
      <c r="I313" s="52">
        <f t="shared" si="19"/>
        <v>0</v>
      </c>
      <c r="J313" s="52" t="e">
        <f t="shared" si="22"/>
        <v>#DIV/0!</v>
      </c>
      <c r="K313" s="52" t="e">
        <f t="shared" si="23"/>
        <v>#DIV/0!</v>
      </c>
      <c r="L313" s="52">
        <f t="shared" si="20"/>
        <v>0</v>
      </c>
      <c r="M313" s="52" t="e">
        <f t="shared" si="21"/>
        <v>#DIV/0!</v>
      </c>
    </row>
    <row r="314" spans="1:13" ht="267.75" hidden="1">
      <c r="A314" s="108"/>
      <c r="B314" s="108"/>
      <c r="C314" s="23" t="s">
        <v>43</v>
      </c>
      <c r="D314" s="34" t="s">
        <v>38</v>
      </c>
      <c r="E314" s="52">
        <v>-2870.5</v>
      </c>
      <c r="F314" s="52"/>
      <c r="G314" s="52"/>
      <c r="H314" s="52">
        <v>-3871.2</v>
      </c>
      <c r="I314" s="52">
        <f t="shared" si="19"/>
        <v>-3871.2</v>
      </c>
      <c r="J314" s="52"/>
      <c r="K314" s="52"/>
      <c r="L314" s="52">
        <f t="shared" si="20"/>
        <v>-1000.6999999999998</v>
      </c>
      <c r="M314" s="52">
        <f t="shared" si="21"/>
        <v>134.86152238286013</v>
      </c>
    </row>
    <row r="315" spans="1:14" ht="31.5" hidden="1">
      <c r="A315" s="108"/>
      <c r="B315" s="108"/>
      <c r="C315" s="25"/>
      <c r="D315" s="3" t="s">
        <v>48</v>
      </c>
      <c r="E315" s="8">
        <f>E316-E314</f>
        <v>46522</v>
      </c>
      <c r="F315" s="8">
        <f>F316-F314</f>
        <v>97397.6</v>
      </c>
      <c r="G315" s="8">
        <f>G316-G314</f>
        <v>71424.9</v>
      </c>
      <c r="H315" s="8">
        <f>H316-H314</f>
        <v>98305.90000000001</v>
      </c>
      <c r="I315" s="8">
        <f t="shared" si="19"/>
        <v>26881.000000000015</v>
      </c>
      <c r="J315" s="8">
        <f t="shared" si="22"/>
        <v>137.63533445619106</v>
      </c>
      <c r="K315" s="8">
        <f t="shared" si="23"/>
        <v>100.9325691803494</v>
      </c>
      <c r="L315" s="8">
        <f t="shared" si="20"/>
        <v>51783.90000000001</v>
      </c>
      <c r="M315" s="8">
        <f t="shared" si="21"/>
        <v>211.310562744508</v>
      </c>
      <c r="N315" s="5"/>
    </row>
    <row r="316" spans="1:14" ht="15.75" hidden="1">
      <c r="A316" s="109"/>
      <c r="B316" s="109"/>
      <c r="C316" s="24"/>
      <c r="D316" s="3" t="s">
        <v>67</v>
      </c>
      <c r="E316" s="8">
        <f>SUM(E309:E314)</f>
        <v>43651.5</v>
      </c>
      <c r="F316" s="8">
        <f>SUM(F309:F314)</f>
        <v>97397.6</v>
      </c>
      <c r="G316" s="8">
        <f>SUM(G309:G314)</f>
        <v>71424.9</v>
      </c>
      <c r="H316" s="8">
        <f>SUM(H309:H314)</f>
        <v>94434.70000000001</v>
      </c>
      <c r="I316" s="8">
        <f t="shared" si="19"/>
        <v>23009.800000000017</v>
      </c>
      <c r="J316" s="8">
        <f t="shared" si="22"/>
        <v>132.21537587031975</v>
      </c>
      <c r="K316" s="8">
        <f t="shared" si="23"/>
        <v>96.95793325502888</v>
      </c>
      <c r="L316" s="8">
        <f t="shared" si="20"/>
        <v>50783.20000000001</v>
      </c>
      <c r="M316" s="8">
        <f t="shared" si="21"/>
        <v>216.3378119881333</v>
      </c>
      <c r="N316" s="5"/>
    </row>
    <row r="317" spans="1:14" ht="267.75" hidden="1">
      <c r="A317" s="100" t="s">
        <v>139</v>
      </c>
      <c r="B317" s="103" t="s">
        <v>140</v>
      </c>
      <c r="C317" s="23" t="s">
        <v>20</v>
      </c>
      <c r="D317" s="47" t="s">
        <v>21</v>
      </c>
      <c r="E317" s="52">
        <v>213.9</v>
      </c>
      <c r="F317" s="8"/>
      <c r="G317" s="8"/>
      <c r="H317" s="52">
        <v>75.2</v>
      </c>
      <c r="I317" s="52">
        <f t="shared" si="19"/>
        <v>75.2</v>
      </c>
      <c r="J317" s="52"/>
      <c r="K317" s="52"/>
      <c r="L317" s="52">
        <f t="shared" si="20"/>
        <v>-138.7</v>
      </c>
      <c r="M317" s="52">
        <f t="shared" si="21"/>
        <v>35.15661524076671</v>
      </c>
      <c r="N317" s="5"/>
    </row>
    <row r="318" spans="1:14" ht="94.5" hidden="1">
      <c r="A318" s="104"/>
      <c r="B318" s="106"/>
      <c r="C318" s="22" t="s">
        <v>22</v>
      </c>
      <c r="D318" s="48" t="s">
        <v>23</v>
      </c>
      <c r="E318" s="52">
        <v>72.4</v>
      </c>
      <c r="F318" s="8"/>
      <c r="G318" s="8"/>
      <c r="H318" s="52">
        <v>120.3</v>
      </c>
      <c r="I318" s="52">
        <f t="shared" si="19"/>
        <v>120.3</v>
      </c>
      <c r="J318" s="52"/>
      <c r="K318" s="52"/>
      <c r="L318" s="52">
        <f t="shared" si="20"/>
        <v>47.89999999999999</v>
      </c>
      <c r="M318" s="52">
        <f t="shared" si="21"/>
        <v>166.1602209944751</v>
      </c>
      <c r="N318" s="5"/>
    </row>
    <row r="319" spans="1:13" ht="267.75" hidden="1">
      <c r="A319" s="104"/>
      <c r="B319" s="106"/>
      <c r="C319" s="23" t="s">
        <v>28</v>
      </c>
      <c r="D319" s="34" t="s">
        <v>29</v>
      </c>
      <c r="E319" s="33">
        <f>E320</f>
        <v>0</v>
      </c>
      <c r="F319" s="33">
        <f>F320</f>
        <v>0</v>
      </c>
      <c r="G319" s="33">
        <f>G320</f>
        <v>0</v>
      </c>
      <c r="H319" s="33">
        <f>H320</f>
        <v>50</v>
      </c>
      <c r="I319" s="33">
        <f t="shared" si="19"/>
        <v>50</v>
      </c>
      <c r="J319" s="33"/>
      <c r="K319" s="33"/>
      <c r="L319" s="33">
        <f t="shared" si="20"/>
        <v>50</v>
      </c>
      <c r="M319" s="33"/>
    </row>
    <row r="320" spans="1:13" ht="47.25" hidden="1">
      <c r="A320" s="104"/>
      <c r="B320" s="106"/>
      <c r="C320" s="22" t="s">
        <v>32</v>
      </c>
      <c r="D320" s="36" t="s">
        <v>33</v>
      </c>
      <c r="E320" s="33"/>
      <c r="F320" s="33"/>
      <c r="G320" s="33"/>
      <c r="H320" s="33">
        <v>50</v>
      </c>
      <c r="I320" s="33">
        <f t="shared" si="19"/>
        <v>50</v>
      </c>
      <c r="J320" s="33" t="e">
        <f t="shared" si="22"/>
        <v>#DIV/0!</v>
      </c>
      <c r="K320" s="33" t="e">
        <f t="shared" si="23"/>
        <v>#DIV/0!</v>
      </c>
      <c r="L320" s="33">
        <f t="shared" si="20"/>
        <v>50</v>
      </c>
      <c r="M320" s="33" t="e">
        <f t="shared" si="21"/>
        <v>#DIV/0!</v>
      </c>
    </row>
    <row r="321" spans="1:13" ht="267.75" hidden="1">
      <c r="A321" s="104"/>
      <c r="B321" s="106"/>
      <c r="C321" s="23" t="s">
        <v>34</v>
      </c>
      <c r="D321" s="34" t="s">
        <v>35</v>
      </c>
      <c r="E321" s="33">
        <v>29.7</v>
      </c>
      <c r="F321" s="33"/>
      <c r="G321" s="33"/>
      <c r="H321" s="33"/>
      <c r="I321" s="33">
        <f t="shared" si="19"/>
        <v>0</v>
      </c>
      <c r="J321" s="33"/>
      <c r="K321" s="33"/>
      <c r="L321" s="33">
        <f t="shared" si="20"/>
        <v>-29.7</v>
      </c>
      <c r="M321" s="33">
        <f t="shared" si="21"/>
        <v>0</v>
      </c>
    </row>
    <row r="322" spans="1:13" ht="267.75" hidden="1">
      <c r="A322" s="104"/>
      <c r="B322" s="106"/>
      <c r="C322" s="23" t="s">
        <v>36</v>
      </c>
      <c r="D322" s="34" t="s">
        <v>37</v>
      </c>
      <c r="E322" s="33"/>
      <c r="F322" s="33"/>
      <c r="G322" s="33"/>
      <c r="H322" s="33"/>
      <c r="I322" s="33">
        <f t="shared" si="19"/>
        <v>0</v>
      </c>
      <c r="J322" s="33" t="e">
        <f t="shared" si="22"/>
        <v>#DIV/0!</v>
      </c>
      <c r="K322" s="33" t="e">
        <f t="shared" si="23"/>
        <v>#DIV/0!</v>
      </c>
      <c r="L322" s="33">
        <f t="shared" si="20"/>
        <v>0</v>
      </c>
      <c r="M322" s="33" t="e">
        <f t="shared" si="21"/>
        <v>#DIV/0!</v>
      </c>
    </row>
    <row r="323" spans="1:13" ht="267.75" hidden="1">
      <c r="A323" s="104"/>
      <c r="B323" s="106"/>
      <c r="C323" s="23" t="s">
        <v>41</v>
      </c>
      <c r="D323" s="34" t="s">
        <v>91</v>
      </c>
      <c r="E323" s="33">
        <v>487.1</v>
      </c>
      <c r="F323" s="33">
        <v>1488.2</v>
      </c>
      <c r="G323" s="33">
        <v>1488.2</v>
      </c>
      <c r="H323" s="33">
        <v>1396.5</v>
      </c>
      <c r="I323" s="33">
        <f t="shared" si="19"/>
        <v>-91.70000000000005</v>
      </c>
      <c r="J323" s="33">
        <f t="shared" si="22"/>
        <v>93.8381937911571</v>
      </c>
      <c r="K323" s="33">
        <f t="shared" si="23"/>
        <v>93.8381937911571</v>
      </c>
      <c r="L323" s="33">
        <f t="shared" si="20"/>
        <v>909.4</v>
      </c>
      <c r="M323" s="33">
        <f t="shared" si="21"/>
        <v>286.6967768425375</v>
      </c>
    </row>
    <row r="324" spans="1:13" ht="267.75" hidden="1">
      <c r="A324" s="104"/>
      <c r="B324" s="106"/>
      <c r="C324" s="23" t="s">
        <v>59</v>
      </c>
      <c r="D324" s="36" t="s">
        <v>60</v>
      </c>
      <c r="E324" s="33">
        <v>110812.4</v>
      </c>
      <c r="F324" s="33">
        <f>137524.3+47927.6</f>
        <v>185451.9</v>
      </c>
      <c r="G324" s="33">
        <f>80222.5+27957.8</f>
        <v>108180.3</v>
      </c>
      <c r="H324" s="33">
        <f>68161.8+11981.9</f>
        <v>80143.7</v>
      </c>
      <c r="I324" s="33">
        <f t="shared" si="19"/>
        <v>-28036.600000000006</v>
      </c>
      <c r="J324" s="33">
        <f t="shared" si="22"/>
        <v>74.08345142322585</v>
      </c>
      <c r="K324" s="33">
        <f t="shared" si="23"/>
        <v>43.21535665043065</v>
      </c>
      <c r="L324" s="33">
        <f t="shared" si="20"/>
        <v>-30668.699999999997</v>
      </c>
      <c r="M324" s="33">
        <f t="shared" si="21"/>
        <v>72.32376521039163</v>
      </c>
    </row>
    <row r="325" spans="1:13" ht="267.75" hidden="1">
      <c r="A325" s="104"/>
      <c r="B325" s="106"/>
      <c r="C325" s="23" t="s">
        <v>43</v>
      </c>
      <c r="D325" s="34" t="s">
        <v>38</v>
      </c>
      <c r="E325" s="33">
        <v>-156.5</v>
      </c>
      <c r="F325" s="33"/>
      <c r="G325" s="33"/>
      <c r="H325" s="33">
        <v>-861.7</v>
      </c>
      <c r="I325" s="33">
        <f t="shared" si="19"/>
        <v>-861.7</v>
      </c>
      <c r="J325" s="33"/>
      <c r="K325" s="33"/>
      <c r="L325" s="33">
        <f t="shared" si="20"/>
        <v>-705.2</v>
      </c>
      <c r="M325" s="33">
        <f t="shared" si="21"/>
        <v>550.6070287539936</v>
      </c>
    </row>
    <row r="326" spans="1:14" ht="15.75" hidden="1">
      <c r="A326" s="104"/>
      <c r="B326" s="106"/>
      <c r="C326" s="19"/>
      <c r="D326" s="3" t="s">
        <v>44</v>
      </c>
      <c r="E326" s="8">
        <f>SUM(E317:E319,E321:E325)</f>
        <v>111459</v>
      </c>
      <c r="F326" s="8">
        <f>SUM(F317:F319,F321:F325)</f>
        <v>186940.1</v>
      </c>
      <c r="G326" s="8">
        <f>SUM(G317:G319,G321:G325)</f>
        <v>109668.5</v>
      </c>
      <c r="H326" s="8">
        <f>SUM(H317:H319,H321:H325)</f>
        <v>80924</v>
      </c>
      <c r="I326" s="8">
        <f t="shared" si="19"/>
        <v>-28744.5</v>
      </c>
      <c r="J326" s="8">
        <f t="shared" si="22"/>
        <v>73.78964789342427</v>
      </c>
      <c r="K326" s="8">
        <f t="shared" si="23"/>
        <v>43.28873259402343</v>
      </c>
      <c r="L326" s="8">
        <f t="shared" si="20"/>
        <v>-30535</v>
      </c>
      <c r="M326" s="8">
        <f t="shared" si="21"/>
        <v>72.60427601180703</v>
      </c>
      <c r="N326" s="5"/>
    </row>
    <row r="327" spans="1:13" ht="267.75" hidden="1">
      <c r="A327" s="104"/>
      <c r="B327" s="106"/>
      <c r="C327" s="23" t="s">
        <v>141</v>
      </c>
      <c r="D327" s="34" t="s">
        <v>142</v>
      </c>
      <c r="E327" s="33">
        <v>88508.8</v>
      </c>
      <c r="F327" s="33">
        <v>153134.7</v>
      </c>
      <c r="G327" s="33">
        <v>78443.3</v>
      </c>
      <c r="H327" s="33">
        <v>68384.5</v>
      </c>
      <c r="I327" s="33">
        <f t="shared" si="19"/>
        <v>-10058.800000000003</v>
      </c>
      <c r="J327" s="33">
        <f t="shared" si="22"/>
        <v>87.17698006075726</v>
      </c>
      <c r="K327" s="33">
        <f t="shared" si="23"/>
        <v>44.656436457576234</v>
      </c>
      <c r="L327" s="33">
        <f t="shared" si="20"/>
        <v>-20124.300000000003</v>
      </c>
      <c r="M327" s="33">
        <f t="shared" si="21"/>
        <v>77.26293882642177</v>
      </c>
    </row>
    <row r="328" spans="1:13" ht="267.75" hidden="1">
      <c r="A328" s="104"/>
      <c r="B328" s="106"/>
      <c r="C328" s="23" t="s">
        <v>20</v>
      </c>
      <c r="D328" s="47" t="s">
        <v>21</v>
      </c>
      <c r="E328" s="33"/>
      <c r="F328" s="33"/>
      <c r="G328" s="33"/>
      <c r="H328" s="33"/>
      <c r="I328" s="33">
        <f t="shared" si="19"/>
        <v>0</v>
      </c>
      <c r="J328" s="33"/>
      <c r="K328" s="33"/>
      <c r="L328" s="33">
        <f t="shared" si="20"/>
        <v>0</v>
      </c>
      <c r="M328" s="33" t="e">
        <f t="shared" si="21"/>
        <v>#DIV/0!</v>
      </c>
    </row>
    <row r="329" spans="1:13" ht="267.75" hidden="1">
      <c r="A329" s="104"/>
      <c r="B329" s="106"/>
      <c r="C329" s="23" t="s">
        <v>28</v>
      </c>
      <c r="D329" s="34" t="s">
        <v>29</v>
      </c>
      <c r="E329" s="33">
        <f>SUM(E330:E333)</f>
        <v>12378.8</v>
      </c>
      <c r="F329" s="33">
        <f>SUM(F330:F333)</f>
        <v>22110.899999999998</v>
      </c>
      <c r="G329" s="33">
        <f>SUM(G330:G333)</f>
        <v>12235.2</v>
      </c>
      <c r="H329" s="33">
        <f>SUM(H330:H333)</f>
        <v>19253</v>
      </c>
      <c r="I329" s="33">
        <f t="shared" si="19"/>
        <v>7017.799999999999</v>
      </c>
      <c r="J329" s="33">
        <f t="shared" si="22"/>
        <v>157.35746044200337</v>
      </c>
      <c r="K329" s="33">
        <f t="shared" si="23"/>
        <v>87.0747007132229</v>
      </c>
      <c r="L329" s="33">
        <f t="shared" si="20"/>
        <v>6874.200000000001</v>
      </c>
      <c r="M329" s="33">
        <f t="shared" si="21"/>
        <v>155.53203864671858</v>
      </c>
    </row>
    <row r="330" spans="1:14" ht="63" hidden="1">
      <c r="A330" s="104"/>
      <c r="B330" s="106"/>
      <c r="C330" s="22" t="s">
        <v>143</v>
      </c>
      <c r="D330" s="36" t="s">
        <v>144</v>
      </c>
      <c r="E330" s="33">
        <v>264.4</v>
      </c>
      <c r="F330" s="33">
        <v>500</v>
      </c>
      <c r="G330" s="33">
        <v>265</v>
      </c>
      <c r="H330" s="33">
        <v>162.9</v>
      </c>
      <c r="I330" s="33">
        <f aca="true" t="shared" si="24" ref="I330:I393">H330-G330</f>
        <v>-102.1</v>
      </c>
      <c r="J330" s="33">
        <f t="shared" si="22"/>
        <v>61.47169811320755</v>
      </c>
      <c r="K330" s="33">
        <f t="shared" si="23"/>
        <v>32.580000000000005</v>
      </c>
      <c r="L330" s="33">
        <f aca="true" t="shared" si="25" ref="L330:L393">H330-E330</f>
        <v>-101.49999999999997</v>
      </c>
      <c r="M330" s="33">
        <f t="shared" si="21"/>
        <v>61.61119515885023</v>
      </c>
      <c r="N330" s="5"/>
    </row>
    <row r="331" spans="1:14" ht="63" hidden="1">
      <c r="A331" s="104"/>
      <c r="B331" s="106"/>
      <c r="C331" s="22" t="s">
        <v>145</v>
      </c>
      <c r="D331" s="36" t="s">
        <v>146</v>
      </c>
      <c r="E331" s="33">
        <v>318</v>
      </c>
      <c r="F331" s="33">
        <v>529.4</v>
      </c>
      <c r="G331" s="33">
        <v>299.7</v>
      </c>
      <c r="H331" s="33">
        <v>539.4</v>
      </c>
      <c r="I331" s="33">
        <f t="shared" si="24"/>
        <v>239.7</v>
      </c>
      <c r="J331" s="33">
        <f t="shared" si="22"/>
        <v>179.97997997998</v>
      </c>
      <c r="K331" s="33">
        <f t="shared" si="23"/>
        <v>101.88893086513033</v>
      </c>
      <c r="L331" s="33">
        <f t="shared" si="25"/>
        <v>221.39999999999998</v>
      </c>
      <c r="M331" s="33">
        <f aca="true" t="shared" si="26" ref="M331:M393">H331/E331*100</f>
        <v>169.62264150943395</v>
      </c>
      <c r="N331" s="5"/>
    </row>
    <row r="332" spans="1:14" ht="63" hidden="1">
      <c r="A332" s="104"/>
      <c r="B332" s="106"/>
      <c r="C332" s="22" t="s">
        <v>147</v>
      </c>
      <c r="D332" s="36" t="s">
        <v>148</v>
      </c>
      <c r="E332" s="33"/>
      <c r="F332" s="33">
        <v>2.2</v>
      </c>
      <c r="G332" s="33"/>
      <c r="H332" s="33">
        <v>3.5</v>
      </c>
      <c r="I332" s="33">
        <f t="shared" si="24"/>
        <v>3.5</v>
      </c>
      <c r="J332" s="33" t="e">
        <f t="shared" si="22"/>
        <v>#DIV/0!</v>
      </c>
      <c r="K332" s="33">
        <f t="shared" si="23"/>
        <v>159.0909090909091</v>
      </c>
      <c r="L332" s="33">
        <f t="shared" si="25"/>
        <v>3.5</v>
      </c>
      <c r="M332" s="33" t="e">
        <f t="shared" si="26"/>
        <v>#DIV/0!</v>
      </c>
      <c r="N332" s="5"/>
    </row>
    <row r="333" spans="1:14" ht="47.25" hidden="1">
      <c r="A333" s="104"/>
      <c r="B333" s="106"/>
      <c r="C333" s="22" t="s">
        <v>32</v>
      </c>
      <c r="D333" s="36" t="s">
        <v>33</v>
      </c>
      <c r="E333" s="33">
        <v>11796.4</v>
      </c>
      <c r="F333" s="33">
        <v>21079.3</v>
      </c>
      <c r="G333" s="33">
        <v>11670.5</v>
      </c>
      <c r="H333" s="33">
        <v>18547.2</v>
      </c>
      <c r="I333" s="33">
        <f t="shared" si="24"/>
        <v>6876.700000000001</v>
      </c>
      <c r="J333" s="33">
        <f t="shared" si="22"/>
        <v>158.92378218585324</v>
      </c>
      <c r="K333" s="33">
        <f t="shared" si="23"/>
        <v>87.98774152841888</v>
      </c>
      <c r="L333" s="33">
        <f t="shared" si="25"/>
        <v>6750.800000000001</v>
      </c>
      <c r="M333" s="33">
        <f t="shared" si="26"/>
        <v>157.22762876809875</v>
      </c>
      <c r="N333" s="5"/>
    </row>
    <row r="334" spans="1:14" ht="15.75" hidden="1">
      <c r="A334" s="104"/>
      <c r="B334" s="106"/>
      <c r="C334" s="25"/>
      <c r="D334" s="3" t="s">
        <v>47</v>
      </c>
      <c r="E334" s="8">
        <f>SUM(E327:E329)</f>
        <v>100887.6</v>
      </c>
      <c r="F334" s="8">
        <f>SUM(F327:F329)</f>
        <v>175245.6</v>
      </c>
      <c r="G334" s="8">
        <f>SUM(G327:G329)</f>
        <v>90678.5</v>
      </c>
      <c r="H334" s="8">
        <f>SUM(H327:H329)</f>
        <v>87637.5</v>
      </c>
      <c r="I334" s="8">
        <f t="shared" si="24"/>
        <v>-3041</v>
      </c>
      <c r="J334" s="8">
        <f t="shared" si="22"/>
        <v>96.64639357730884</v>
      </c>
      <c r="K334" s="8">
        <f t="shared" si="23"/>
        <v>50.00838822772155</v>
      </c>
      <c r="L334" s="8">
        <f t="shared" si="25"/>
        <v>-13250.100000000006</v>
      </c>
      <c r="M334" s="8">
        <f t="shared" si="26"/>
        <v>86.86647318401864</v>
      </c>
      <c r="N334" s="5"/>
    </row>
    <row r="335" spans="1:14" ht="31.5" hidden="1">
      <c r="A335" s="104"/>
      <c r="B335" s="106"/>
      <c r="C335" s="25"/>
      <c r="D335" s="3" t="s">
        <v>48</v>
      </c>
      <c r="E335" s="8">
        <f>E336-E325</f>
        <v>212503.1</v>
      </c>
      <c r="F335" s="8">
        <f>F336-F325</f>
        <v>362185.7</v>
      </c>
      <c r="G335" s="8">
        <f>G336-G325</f>
        <v>200347</v>
      </c>
      <c r="H335" s="8">
        <f>H336-H325</f>
        <v>169423.2</v>
      </c>
      <c r="I335" s="8">
        <f t="shared" si="24"/>
        <v>-30923.79999999999</v>
      </c>
      <c r="J335" s="8">
        <f t="shared" si="22"/>
        <v>84.56487993331571</v>
      </c>
      <c r="K335" s="8">
        <f t="shared" si="23"/>
        <v>46.777992615390396</v>
      </c>
      <c r="L335" s="8">
        <f t="shared" si="25"/>
        <v>-43079.899999999994</v>
      </c>
      <c r="M335" s="8">
        <f t="shared" si="26"/>
        <v>79.72740162378807</v>
      </c>
      <c r="N335" s="5"/>
    </row>
    <row r="336" spans="1:14" ht="15.75" hidden="1">
      <c r="A336" s="105"/>
      <c r="B336" s="107"/>
      <c r="C336" s="25"/>
      <c r="D336" s="3" t="s">
        <v>67</v>
      </c>
      <c r="E336" s="8">
        <f>E326+E334</f>
        <v>212346.6</v>
      </c>
      <c r="F336" s="8">
        <f>F326+F334</f>
        <v>362185.7</v>
      </c>
      <c r="G336" s="8">
        <f>G326+G334</f>
        <v>200347</v>
      </c>
      <c r="H336" s="8">
        <f>H326+H334</f>
        <v>168561.5</v>
      </c>
      <c r="I336" s="8">
        <f t="shared" si="24"/>
        <v>-31785.5</v>
      </c>
      <c r="J336" s="8">
        <f t="shared" si="22"/>
        <v>84.13477616335658</v>
      </c>
      <c r="K336" s="8">
        <f t="shared" si="23"/>
        <v>46.540075988643395</v>
      </c>
      <c r="L336" s="8">
        <f t="shared" si="25"/>
        <v>-43785.100000000006</v>
      </c>
      <c r="M336" s="8">
        <f t="shared" si="26"/>
        <v>79.38036210610389</v>
      </c>
      <c r="N336" s="5"/>
    </row>
    <row r="337" spans="1:13" ht="267.75" hidden="1">
      <c r="A337" s="103" t="s">
        <v>149</v>
      </c>
      <c r="B337" s="103" t="s">
        <v>150</v>
      </c>
      <c r="C337" s="23" t="s">
        <v>151</v>
      </c>
      <c r="D337" s="34" t="s">
        <v>152</v>
      </c>
      <c r="E337" s="33">
        <v>339</v>
      </c>
      <c r="F337" s="33">
        <v>843</v>
      </c>
      <c r="G337" s="33">
        <v>468</v>
      </c>
      <c r="H337" s="33">
        <v>162.1</v>
      </c>
      <c r="I337" s="33">
        <f t="shared" si="24"/>
        <v>-305.9</v>
      </c>
      <c r="J337" s="33">
        <f t="shared" si="22"/>
        <v>34.636752136752136</v>
      </c>
      <c r="K337" s="33">
        <f t="shared" si="23"/>
        <v>19.22894424673784</v>
      </c>
      <c r="L337" s="33">
        <f t="shared" si="25"/>
        <v>-176.9</v>
      </c>
      <c r="M337" s="33">
        <f t="shared" si="26"/>
        <v>47.81710914454277</v>
      </c>
    </row>
    <row r="338" spans="1:13" ht="267.75" hidden="1">
      <c r="A338" s="106"/>
      <c r="B338" s="106"/>
      <c r="C338" s="23" t="s">
        <v>14</v>
      </c>
      <c r="D338" s="46" t="s">
        <v>153</v>
      </c>
      <c r="E338" s="33"/>
      <c r="F338" s="33"/>
      <c r="G338" s="33"/>
      <c r="H338" s="33"/>
      <c r="I338" s="33">
        <f t="shared" si="24"/>
        <v>0</v>
      </c>
      <c r="J338" s="33" t="e">
        <f t="shared" si="22"/>
        <v>#DIV/0!</v>
      </c>
      <c r="K338" s="33" t="e">
        <f t="shared" si="23"/>
        <v>#DIV/0!</v>
      </c>
      <c r="L338" s="33">
        <f t="shared" si="25"/>
        <v>0</v>
      </c>
      <c r="M338" s="33" t="e">
        <f t="shared" si="26"/>
        <v>#DIV/0!</v>
      </c>
    </row>
    <row r="339" spans="1:13" ht="47.25" hidden="1">
      <c r="A339" s="106"/>
      <c r="B339" s="106"/>
      <c r="C339" s="22" t="s">
        <v>18</v>
      </c>
      <c r="D339" s="36" t="s">
        <v>154</v>
      </c>
      <c r="E339" s="33">
        <v>27554.3</v>
      </c>
      <c r="F339" s="33">
        <v>78503.6</v>
      </c>
      <c r="G339" s="33">
        <v>45794</v>
      </c>
      <c r="H339" s="33">
        <v>45494.9</v>
      </c>
      <c r="I339" s="33">
        <f t="shared" si="24"/>
        <v>-299.09999999999854</v>
      </c>
      <c r="J339" s="33">
        <f>H339/G339*100</f>
        <v>99.34685766694327</v>
      </c>
      <c r="K339" s="33">
        <f>H339/F339*100</f>
        <v>57.95262892402386</v>
      </c>
      <c r="L339" s="33">
        <f t="shared" si="25"/>
        <v>17940.600000000002</v>
      </c>
      <c r="M339" s="33">
        <f t="shared" si="26"/>
        <v>165.10998283389526</v>
      </c>
    </row>
    <row r="340" spans="1:13" ht="267.75" hidden="1">
      <c r="A340" s="106"/>
      <c r="B340" s="106"/>
      <c r="C340" s="23" t="s">
        <v>20</v>
      </c>
      <c r="D340" s="47" t="s">
        <v>21</v>
      </c>
      <c r="E340" s="33">
        <v>12.9</v>
      </c>
      <c r="F340" s="33"/>
      <c r="G340" s="33"/>
      <c r="H340" s="33">
        <v>5314</v>
      </c>
      <c r="I340" s="33">
        <f t="shared" si="24"/>
        <v>5314</v>
      </c>
      <c r="J340" s="33"/>
      <c r="K340" s="33"/>
      <c r="L340" s="33">
        <f t="shared" si="25"/>
        <v>5301.1</v>
      </c>
      <c r="M340" s="33">
        <f t="shared" si="26"/>
        <v>41193.798449612405</v>
      </c>
    </row>
    <row r="341" spans="1:13" ht="267.75" hidden="1">
      <c r="A341" s="106"/>
      <c r="B341" s="106"/>
      <c r="C341" s="23" t="s">
        <v>28</v>
      </c>
      <c r="D341" s="34" t="s">
        <v>29</v>
      </c>
      <c r="E341" s="33">
        <f>E342</f>
        <v>24.4</v>
      </c>
      <c r="F341" s="33">
        <f>F342</f>
        <v>0</v>
      </c>
      <c r="G341" s="33">
        <f>G342</f>
        <v>0</v>
      </c>
      <c r="H341" s="33">
        <f>H342</f>
        <v>5</v>
      </c>
      <c r="I341" s="33">
        <f t="shared" si="24"/>
        <v>5</v>
      </c>
      <c r="J341" s="33"/>
      <c r="K341" s="33"/>
      <c r="L341" s="33">
        <f t="shared" si="25"/>
        <v>-19.4</v>
      </c>
      <c r="M341" s="33">
        <f t="shared" si="26"/>
        <v>20.491803278688526</v>
      </c>
    </row>
    <row r="342" spans="1:13" ht="47.25" hidden="1">
      <c r="A342" s="106"/>
      <c r="B342" s="106"/>
      <c r="C342" s="22" t="s">
        <v>32</v>
      </c>
      <c r="D342" s="36" t="s">
        <v>33</v>
      </c>
      <c r="E342" s="33">
        <v>24.4</v>
      </c>
      <c r="F342" s="33"/>
      <c r="G342" s="33"/>
      <c r="H342" s="33">
        <v>5</v>
      </c>
      <c r="I342" s="33">
        <f t="shared" si="24"/>
        <v>5</v>
      </c>
      <c r="J342" s="33"/>
      <c r="K342" s="33"/>
      <c r="L342" s="33">
        <f t="shared" si="25"/>
        <v>-19.4</v>
      </c>
      <c r="M342" s="33">
        <f t="shared" si="26"/>
        <v>20.491803278688526</v>
      </c>
    </row>
    <row r="343" spans="1:13" ht="267.75" hidden="1">
      <c r="A343" s="106"/>
      <c r="B343" s="106"/>
      <c r="C343" s="23" t="s">
        <v>34</v>
      </c>
      <c r="D343" s="34" t="s">
        <v>35</v>
      </c>
      <c r="E343" s="33">
        <v>40</v>
      </c>
      <c r="F343" s="33"/>
      <c r="G343" s="33"/>
      <c r="H343" s="33">
        <v>-6</v>
      </c>
      <c r="I343" s="33">
        <f t="shared" si="24"/>
        <v>-6</v>
      </c>
      <c r="J343" s="33"/>
      <c r="K343" s="33"/>
      <c r="L343" s="33">
        <f t="shared" si="25"/>
        <v>-46</v>
      </c>
      <c r="M343" s="33">
        <f t="shared" si="26"/>
        <v>-15</v>
      </c>
    </row>
    <row r="344" spans="1:13" ht="267.75" hidden="1">
      <c r="A344" s="106"/>
      <c r="B344" s="106"/>
      <c r="C344" s="23" t="s">
        <v>36</v>
      </c>
      <c r="D344" s="34" t="s">
        <v>37</v>
      </c>
      <c r="E344" s="33"/>
      <c r="F344" s="33"/>
      <c r="G344" s="33"/>
      <c r="H344" s="33"/>
      <c r="I344" s="33">
        <f t="shared" si="24"/>
        <v>0</v>
      </c>
      <c r="J344" s="33" t="e">
        <f>H344/G344*100</f>
        <v>#DIV/0!</v>
      </c>
      <c r="K344" s="33" t="e">
        <f>H344/F344*100</f>
        <v>#DIV/0!</v>
      </c>
      <c r="L344" s="33">
        <f t="shared" si="25"/>
        <v>0</v>
      </c>
      <c r="M344" s="33" t="e">
        <f t="shared" si="26"/>
        <v>#DIV/0!</v>
      </c>
    </row>
    <row r="345" spans="1:13" ht="267.75" hidden="1">
      <c r="A345" s="106"/>
      <c r="B345" s="106"/>
      <c r="C345" s="23" t="s">
        <v>41</v>
      </c>
      <c r="D345" s="34" t="s">
        <v>42</v>
      </c>
      <c r="E345" s="33">
        <v>22.3</v>
      </c>
      <c r="F345" s="33"/>
      <c r="G345" s="33"/>
      <c r="H345" s="33"/>
      <c r="I345" s="33">
        <f t="shared" si="24"/>
        <v>0</v>
      </c>
      <c r="J345" s="33"/>
      <c r="K345" s="33"/>
      <c r="L345" s="33">
        <f t="shared" si="25"/>
        <v>-22.3</v>
      </c>
      <c r="M345" s="33">
        <f t="shared" si="26"/>
        <v>0</v>
      </c>
    </row>
    <row r="346" spans="1:13" ht="267.75" hidden="1">
      <c r="A346" s="106"/>
      <c r="B346" s="106"/>
      <c r="C346" s="23" t="s">
        <v>43</v>
      </c>
      <c r="D346" s="34" t="s">
        <v>38</v>
      </c>
      <c r="E346" s="33"/>
      <c r="F346" s="33"/>
      <c r="G346" s="33"/>
      <c r="H346" s="33"/>
      <c r="I346" s="33">
        <f t="shared" si="24"/>
        <v>0</v>
      </c>
      <c r="J346" s="33" t="e">
        <f aca="true" t="shared" si="27" ref="J346:J354">H346/G346*100</f>
        <v>#DIV/0!</v>
      </c>
      <c r="K346" s="33" t="e">
        <f aca="true" t="shared" si="28" ref="K346:K354">H346/F346*100</f>
        <v>#DIV/0!</v>
      </c>
      <c r="L346" s="33">
        <f t="shared" si="25"/>
        <v>0</v>
      </c>
      <c r="M346" s="33" t="e">
        <f t="shared" si="26"/>
        <v>#DIV/0!</v>
      </c>
    </row>
    <row r="347" spans="1:14" ht="15.75" hidden="1">
      <c r="A347" s="106"/>
      <c r="B347" s="106"/>
      <c r="C347" s="24"/>
      <c r="D347" s="3" t="s">
        <v>44</v>
      </c>
      <c r="E347" s="8">
        <f>SUM(E337:E341,E343:E346)</f>
        <v>27992.9</v>
      </c>
      <c r="F347" s="8">
        <f>SUM(F337:F341,F343:F346)</f>
        <v>79346.6</v>
      </c>
      <c r="G347" s="8">
        <f>SUM(G337:G341,G343:G346)</f>
        <v>46262</v>
      </c>
      <c r="H347" s="8">
        <f>SUM(H337:H341,H343:H346)</f>
        <v>50970</v>
      </c>
      <c r="I347" s="8">
        <f t="shared" si="24"/>
        <v>4708</v>
      </c>
      <c r="J347" s="8">
        <f t="shared" si="27"/>
        <v>110.17681898750595</v>
      </c>
      <c r="K347" s="8">
        <f t="shared" si="28"/>
        <v>64.23715697963114</v>
      </c>
      <c r="L347" s="8">
        <f t="shared" si="25"/>
        <v>22977.1</v>
      </c>
      <c r="M347" s="8">
        <f t="shared" si="26"/>
        <v>182.08188504942325</v>
      </c>
      <c r="N347" s="5"/>
    </row>
    <row r="348" spans="1:13" ht="267.75" hidden="1">
      <c r="A348" s="106"/>
      <c r="B348" s="106"/>
      <c r="C348" s="23" t="s">
        <v>211</v>
      </c>
      <c r="D348" s="34" t="s">
        <v>155</v>
      </c>
      <c r="E348" s="33">
        <v>540.9</v>
      </c>
      <c r="F348" s="33">
        <v>652.7</v>
      </c>
      <c r="G348" s="33">
        <f>508.2+90.6</f>
        <v>598.8</v>
      </c>
      <c r="H348" s="33">
        <f>473+299</f>
        <v>772</v>
      </c>
      <c r="I348" s="33">
        <f t="shared" si="24"/>
        <v>173.20000000000005</v>
      </c>
      <c r="J348" s="33">
        <f t="shared" si="27"/>
        <v>128.9245156980628</v>
      </c>
      <c r="K348" s="33">
        <f t="shared" si="28"/>
        <v>118.27792247586946</v>
      </c>
      <c r="L348" s="33">
        <f t="shared" si="25"/>
        <v>231.10000000000002</v>
      </c>
      <c r="M348" s="33">
        <f t="shared" si="26"/>
        <v>142.72508781660196</v>
      </c>
    </row>
    <row r="349" spans="1:13" ht="267.75" hidden="1">
      <c r="A349" s="106"/>
      <c r="B349" s="106"/>
      <c r="C349" s="23" t="s">
        <v>28</v>
      </c>
      <c r="D349" s="34" t="s">
        <v>29</v>
      </c>
      <c r="E349" s="33">
        <f>SUM(E350:E351)</f>
        <v>9054.9</v>
      </c>
      <c r="F349" s="33">
        <f>SUM(F350:F351)</f>
        <v>9874</v>
      </c>
      <c r="G349" s="33">
        <f>SUM(G350:G351)</f>
        <v>6091.2</v>
      </c>
      <c r="H349" s="33">
        <f>SUM(H350:H351)</f>
        <v>7992.900000000001</v>
      </c>
      <c r="I349" s="33">
        <f t="shared" si="24"/>
        <v>1901.7000000000007</v>
      </c>
      <c r="J349" s="33">
        <f t="shared" si="27"/>
        <v>131.22044917257685</v>
      </c>
      <c r="K349" s="33">
        <f t="shared" si="28"/>
        <v>80.94895685639052</v>
      </c>
      <c r="L349" s="33">
        <f t="shared" si="25"/>
        <v>-1061.999999999999</v>
      </c>
      <c r="M349" s="33">
        <f t="shared" si="26"/>
        <v>88.27154358413678</v>
      </c>
    </row>
    <row r="350" spans="1:14" ht="63" hidden="1">
      <c r="A350" s="106"/>
      <c r="B350" s="106"/>
      <c r="C350" s="22" t="s">
        <v>156</v>
      </c>
      <c r="D350" s="36" t="s">
        <v>157</v>
      </c>
      <c r="E350" s="33">
        <v>8079.1</v>
      </c>
      <c r="F350" s="33">
        <v>9124</v>
      </c>
      <c r="G350" s="33">
        <v>5653.7</v>
      </c>
      <c r="H350" s="33">
        <v>6681.1</v>
      </c>
      <c r="I350" s="33">
        <f t="shared" si="24"/>
        <v>1027.4000000000005</v>
      </c>
      <c r="J350" s="33">
        <f t="shared" si="27"/>
        <v>118.17217043705892</v>
      </c>
      <c r="K350" s="33">
        <f t="shared" si="28"/>
        <v>73.22555896536606</v>
      </c>
      <c r="L350" s="33">
        <f t="shared" si="25"/>
        <v>-1398</v>
      </c>
      <c r="M350" s="33">
        <f t="shared" si="26"/>
        <v>82.6960923865282</v>
      </c>
      <c r="N350" s="5"/>
    </row>
    <row r="351" spans="1:14" ht="47.25" hidden="1">
      <c r="A351" s="106"/>
      <c r="B351" s="106"/>
      <c r="C351" s="22" t="s">
        <v>32</v>
      </c>
      <c r="D351" s="36" t="s">
        <v>33</v>
      </c>
      <c r="E351" s="33">
        <v>975.8</v>
      </c>
      <c r="F351" s="33">
        <v>750</v>
      </c>
      <c r="G351" s="33">
        <v>437.5</v>
      </c>
      <c r="H351" s="33">
        <v>1311.8</v>
      </c>
      <c r="I351" s="33">
        <f t="shared" si="24"/>
        <v>874.3</v>
      </c>
      <c r="J351" s="33">
        <f t="shared" si="27"/>
        <v>299.84</v>
      </c>
      <c r="K351" s="33">
        <f t="shared" si="28"/>
        <v>174.90666666666667</v>
      </c>
      <c r="L351" s="33">
        <f t="shared" si="25"/>
        <v>336</v>
      </c>
      <c r="M351" s="33">
        <f t="shared" si="26"/>
        <v>134.43328550932569</v>
      </c>
      <c r="N351" s="5"/>
    </row>
    <row r="352" spans="1:14" ht="15.75" hidden="1">
      <c r="A352" s="106"/>
      <c r="B352" s="106"/>
      <c r="C352" s="25"/>
      <c r="D352" s="3" t="s">
        <v>47</v>
      </c>
      <c r="E352" s="8">
        <f>SUM(E348:E349)</f>
        <v>9595.8</v>
      </c>
      <c r="F352" s="8">
        <f>SUM(F348:F349)</f>
        <v>10526.7</v>
      </c>
      <c r="G352" s="8">
        <f>SUM(G348:G349)</f>
        <v>6690</v>
      </c>
      <c r="H352" s="8">
        <f>SUM(H348:H349)</f>
        <v>8764.900000000001</v>
      </c>
      <c r="I352" s="8">
        <f t="shared" si="24"/>
        <v>2074.9000000000015</v>
      </c>
      <c r="J352" s="8">
        <f t="shared" si="27"/>
        <v>131.01494768310914</v>
      </c>
      <c r="K352" s="8">
        <f t="shared" si="28"/>
        <v>83.26351088185282</v>
      </c>
      <c r="L352" s="8">
        <f t="shared" si="25"/>
        <v>-830.8999999999978</v>
      </c>
      <c r="M352" s="8">
        <f t="shared" si="26"/>
        <v>91.34100335563477</v>
      </c>
      <c r="N352" s="5"/>
    </row>
    <row r="353" spans="1:14" ht="31.5" hidden="1">
      <c r="A353" s="106"/>
      <c r="B353" s="106"/>
      <c r="C353" s="25"/>
      <c r="D353" s="3" t="s">
        <v>48</v>
      </c>
      <c r="E353" s="8">
        <f>E354-E346</f>
        <v>37588.7</v>
      </c>
      <c r="F353" s="8">
        <f>F354-F346</f>
        <v>89873.3</v>
      </c>
      <c r="G353" s="8">
        <f>G354-G346</f>
        <v>52952</v>
      </c>
      <c r="H353" s="8">
        <f>H354-H346</f>
        <v>59734.9</v>
      </c>
      <c r="I353" s="8">
        <f t="shared" si="24"/>
        <v>6782.9000000000015</v>
      </c>
      <c r="J353" s="8">
        <f t="shared" si="27"/>
        <v>112.8095256080979</v>
      </c>
      <c r="K353" s="8">
        <f t="shared" si="28"/>
        <v>66.46568001842594</v>
      </c>
      <c r="L353" s="8">
        <f t="shared" si="25"/>
        <v>22146.200000000004</v>
      </c>
      <c r="M353" s="8">
        <f t="shared" si="26"/>
        <v>158.91717457640198</v>
      </c>
      <c r="N353" s="5"/>
    </row>
    <row r="354" spans="1:14" ht="15.75" hidden="1">
      <c r="A354" s="107"/>
      <c r="B354" s="107"/>
      <c r="C354" s="24"/>
      <c r="D354" s="3" t="s">
        <v>67</v>
      </c>
      <c r="E354" s="8">
        <f>E347+E352</f>
        <v>37588.7</v>
      </c>
      <c r="F354" s="8">
        <f>F347+F352</f>
        <v>89873.3</v>
      </c>
      <c r="G354" s="8">
        <f>G347+G352</f>
        <v>52952</v>
      </c>
      <c r="H354" s="8">
        <f>H347+H352</f>
        <v>59734.9</v>
      </c>
      <c r="I354" s="8">
        <f t="shared" si="24"/>
        <v>6782.9000000000015</v>
      </c>
      <c r="J354" s="8">
        <f t="shared" si="27"/>
        <v>112.8095256080979</v>
      </c>
      <c r="K354" s="8">
        <f t="shared" si="28"/>
        <v>66.46568001842594</v>
      </c>
      <c r="L354" s="8">
        <f t="shared" si="25"/>
        <v>22146.200000000004</v>
      </c>
      <c r="M354" s="8">
        <f t="shared" si="26"/>
        <v>158.91717457640198</v>
      </c>
      <c r="N354" s="5"/>
    </row>
    <row r="355" spans="1:13" ht="267.75" hidden="1">
      <c r="A355" s="110" t="s">
        <v>158</v>
      </c>
      <c r="B355" s="111" t="s">
        <v>159</v>
      </c>
      <c r="C355" s="23" t="s">
        <v>20</v>
      </c>
      <c r="D355" s="47" t="s">
        <v>21</v>
      </c>
      <c r="E355" s="33">
        <v>15183.1</v>
      </c>
      <c r="F355" s="33"/>
      <c r="G355" s="33"/>
      <c r="H355" s="33">
        <v>75034.9</v>
      </c>
      <c r="I355" s="33">
        <f t="shared" si="24"/>
        <v>75034.9</v>
      </c>
      <c r="J355" s="33"/>
      <c r="K355" s="33"/>
      <c r="L355" s="33">
        <f t="shared" si="25"/>
        <v>59851.799999999996</v>
      </c>
      <c r="M355" s="33">
        <f t="shared" si="26"/>
        <v>494.20013040815115</v>
      </c>
    </row>
    <row r="356" spans="1:13" ht="94.5" hidden="1">
      <c r="A356" s="110"/>
      <c r="B356" s="111"/>
      <c r="C356" s="22" t="s">
        <v>22</v>
      </c>
      <c r="D356" s="48" t="s">
        <v>23</v>
      </c>
      <c r="E356" s="33"/>
      <c r="F356" s="33"/>
      <c r="G356" s="33"/>
      <c r="H356" s="33"/>
      <c r="I356" s="33">
        <f t="shared" si="24"/>
        <v>0</v>
      </c>
      <c r="J356" s="33"/>
      <c r="K356" s="33"/>
      <c r="L356" s="33">
        <f t="shared" si="25"/>
        <v>0</v>
      </c>
      <c r="M356" s="33" t="e">
        <f t="shared" si="26"/>
        <v>#DIV/0!</v>
      </c>
    </row>
    <row r="357" spans="1:13" ht="267.75" hidden="1">
      <c r="A357" s="110"/>
      <c r="B357" s="111"/>
      <c r="C357" s="23" t="s">
        <v>28</v>
      </c>
      <c r="D357" s="34" t="s">
        <v>29</v>
      </c>
      <c r="E357" s="33">
        <f>E358</f>
        <v>0</v>
      </c>
      <c r="F357" s="33">
        <f>F358</f>
        <v>0</v>
      </c>
      <c r="G357" s="33">
        <f>G358</f>
        <v>0</v>
      </c>
      <c r="H357" s="33">
        <f>H358</f>
        <v>0</v>
      </c>
      <c r="I357" s="33">
        <f t="shared" si="24"/>
        <v>0</v>
      </c>
      <c r="J357" s="33"/>
      <c r="K357" s="33"/>
      <c r="L357" s="33">
        <f t="shared" si="25"/>
        <v>0</v>
      </c>
      <c r="M357" s="33" t="e">
        <f t="shared" si="26"/>
        <v>#DIV/0!</v>
      </c>
    </row>
    <row r="358" spans="1:13" ht="47.25" hidden="1">
      <c r="A358" s="110"/>
      <c r="B358" s="111"/>
      <c r="C358" s="22" t="s">
        <v>32</v>
      </c>
      <c r="D358" s="36" t="s">
        <v>33</v>
      </c>
      <c r="E358" s="33"/>
      <c r="F358" s="33"/>
      <c r="G358" s="33"/>
      <c r="H358" s="33"/>
      <c r="I358" s="33">
        <f t="shared" si="24"/>
        <v>0</v>
      </c>
      <c r="J358" s="33"/>
      <c r="K358" s="33"/>
      <c r="L358" s="33">
        <f t="shared" si="25"/>
        <v>0</v>
      </c>
      <c r="M358" s="33" t="e">
        <f t="shared" si="26"/>
        <v>#DIV/0!</v>
      </c>
    </row>
    <row r="359" spans="1:13" ht="267.75" hidden="1">
      <c r="A359" s="110"/>
      <c r="B359" s="111"/>
      <c r="C359" s="23" t="s">
        <v>34</v>
      </c>
      <c r="D359" s="34" t="s">
        <v>35</v>
      </c>
      <c r="E359" s="33">
        <v>201.1</v>
      </c>
      <c r="F359" s="33"/>
      <c r="G359" s="33"/>
      <c r="H359" s="33">
        <v>104.5</v>
      </c>
      <c r="I359" s="33">
        <f t="shared" si="24"/>
        <v>104.5</v>
      </c>
      <c r="J359" s="33"/>
      <c r="K359" s="33"/>
      <c r="L359" s="33">
        <f t="shared" si="25"/>
        <v>-96.6</v>
      </c>
      <c r="M359" s="33">
        <f t="shared" si="26"/>
        <v>51.96419691695674</v>
      </c>
    </row>
    <row r="360" spans="1:13" ht="267.75" hidden="1">
      <c r="A360" s="110"/>
      <c r="B360" s="111"/>
      <c r="C360" s="23" t="s">
        <v>41</v>
      </c>
      <c r="D360" s="34" t="s">
        <v>42</v>
      </c>
      <c r="E360" s="33">
        <v>6679.9</v>
      </c>
      <c r="F360" s="33">
        <v>19664.8</v>
      </c>
      <c r="G360" s="33">
        <v>936.5</v>
      </c>
      <c r="H360" s="33">
        <f>907+322.5</f>
        <v>1229.5</v>
      </c>
      <c r="I360" s="33">
        <f t="shared" si="24"/>
        <v>293</v>
      </c>
      <c r="J360" s="33">
        <f>H360/G360*100</f>
        <v>131.28670581954086</v>
      </c>
      <c r="K360" s="33">
        <f>H360/F360*100</f>
        <v>6.2522883527928075</v>
      </c>
      <c r="L360" s="33">
        <f t="shared" si="25"/>
        <v>-5450.4</v>
      </c>
      <c r="M360" s="33">
        <f t="shared" si="26"/>
        <v>18.405964161140137</v>
      </c>
    </row>
    <row r="361" spans="1:13" ht="267.75" hidden="1">
      <c r="A361" s="110"/>
      <c r="B361" s="111"/>
      <c r="C361" s="23" t="s">
        <v>59</v>
      </c>
      <c r="D361" s="36" t="s">
        <v>60</v>
      </c>
      <c r="E361" s="33">
        <v>548.7</v>
      </c>
      <c r="F361" s="33"/>
      <c r="G361" s="33"/>
      <c r="H361" s="33"/>
      <c r="I361" s="33">
        <f t="shared" si="24"/>
        <v>0</v>
      </c>
      <c r="J361" s="33" t="e">
        <f>H361/G361*100</f>
        <v>#DIV/0!</v>
      </c>
      <c r="K361" s="33" t="e">
        <f>H361/F361*100</f>
        <v>#DIV/0!</v>
      </c>
      <c r="L361" s="33">
        <f t="shared" si="25"/>
        <v>-548.7</v>
      </c>
      <c r="M361" s="33">
        <f t="shared" si="26"/>
        <v>0</v>
      </c>
    </row>
    <row r="362" spans="1:13" ht="267.75" hidden="1">
      <c r="A362" s="110"/>
      <c r="B362" s="111"/>
      <c r="C362" s="23" t="s">
        <v>43</v>
      </c>
      <c r="D362" s="34" t="s">
        <v>38</v>
      </c>
      <c r="E362" s="33">
        <v>-384.7</v>
      </c>
      <c r="F362" s="33"/>
      <c r="G362" s="33"/>
      <c r="H362" s="33">
        <v>-0.3</v>
      </c>
      <c r="I362" s="33">
        <f t="shared" si="24"/>
        <v>-0.3</v>
      </c>
      <c r="J362" s="33"/>
      <c r="K362" s="33"/>
      <c r="L362" s="33">
        <f t="shared" si="25"/>
        <v>384.4</v>
      </c>
      <c r="M362" s="33">
        <f t="shared" si="26"/>
        <v>0.07798284377436965</v>
      </c>
    </row>
    <row r="363" spans="1:14" ht="31.5" hidden="1">
      <c r="A363" s="110"/>
      <c r="B363" s="111"/>
      <c r="C363" s="25"/>
      <c r="D363" s="3" t="s">
        <v>48</v>
      </c>
      <c r="E363" s="4">
        <f>E364-E362</f>
        <v>22612.8</v>
      </c>
      <c r="F363" s="4">
        <f>F364-F362</f>
        <v>19664.8</v>
      </c>
      <c r="G363" s="4">
        <f>G364-G362</f>
        <v>936.5</v>
      </c>
      <c r="H363" s="4">
        <f>H364-H362</f>
        <v>76368.9</v>
      </c>
      <c r="I363" s="4">
        <f t="shared" si="24"/>
        <v>75432.4</v>
      </c>
      <c r="J363" s="4">
        <f>H363/G363*100</f>
        <v>8154.714361986117</v>
      </c>
      <c r="K363" s="4">
        <f>H363/F363*100</f>
        <v>388.3533013302957</v>
      </c>
      <c r="L363" s="4">
        <f t="shared" si="25"/>
        <v>53756.09999999999</v>
      </c>
      <c r="M363" s="4">
        <f t="shared" si="26"/>
        <v>337.72420929738905</v>
      </c>
      <c r="N363" s="5"/>
    </row>
    <row r="364" spans="1:14" ht="15.75" hidden="1">
      <c r="A364" s="110"/>
      <c r="B364" s="111"/>
      <c r="C364" s="19"/>
      <c r="D364" s="3" t="s">
        <v>67</v>
      </c>
      <c r="E364" s="8">
        <f>SUM(E355:E357,E359:E362)</f>
        <v>22228.1</v>
      </c>
      <c r="F364" s="8">
        <f>SUM(F355:F357,F359:F362)</f>
        <v>19664.8</v>
      </c>
      <c r="G364" s="8">
        <f>SUM(G355:G357,G359:G362)</f>
        <v>936.5</v>
      </c>
      <c r="H364" s="8">
        <f>SUM(H355:H357,H359:H362)</f>
        <v>76368.59999999999</v>
      </c>
      <c r="I364" s="8">
        <f t="shared" si="24"/>
        <v>75432.09999999999</v>
      </c>
      <c r="J364" s="8">
        <f>H364/G364*100</f>
        <v>8154.682327816336</v>
      </c>
      <c r="K364" s="8">
        <f>H364/F364*100</f>
        <v>388.3517757617672</v>
      </c>
      <c r="L364" s="8">
        <f t="shared" si="25"/>
        <v>54140.49999999999</v>
      </c>
      <c r="M364" s="8">
        <f t="shared" si="26"/>
        <v>343.567826309941</v>
      </c>
      <c r="N364" s="5"/>
    </row>
    <row r="365" spans="1:14" ht="267.75" hidden="1">
      <c r="A365" s="100" t="s">
        <v>160</v>
      </c>
      <c r="B365" s="103" t="s">
        <v>161</v>
      </c>
      <c r="C365" s="23" t="s">
        <v>14</v>
      </c>
      <c r="D365" s="46" t="s">
        <v>153</v>
      </c>
      <c r="E365" s="52"/>
      <c r="F365" s="8"/>
      <c r="G365" s="8"/>
      <c r="H365" s="52">
        <v>206.4</v>
      </c>
      <c r="I365" s="52">
        <f t="shared" si="24"/>
        <v>206.4</v>
      </c>
      <c r="J365" s="52"/>
      <c r="K365" s="52"/>
      <c r="L365" s="52">
        <f t="shared" si="25"/>
        <v>206.4</v>
      </c>
      <c r="M365" s="52"/>
      <c r="N365" s="5"/>
    </row>
    <row r="366" spans="1:14" ht="267.75" hidden="1">
      <c r="A366" s="104"/>
      <c r="B366" s="106"/>
      <c r="C366" s="23" t="s">
        <v>20</v>
      </c>
      <c r="D366" s="47" t="s">
        <v>21</v>
      </c>
      <c r="E366" s="52">
        <v>248.1</v>
      </c>
      <c r="F366" s="8"/>
      <c r="G366" s="8"/>
      <c r="H366" s="52">
        <v>1090.4</v>
      </c>
      <c r="I366" s="52">
        <f t="shared" si="24"/>
        <v>1090.4</v>
      </c>
      <c r="J366" s="52"/>
      <c r="K366" s="52"/>
      <c r="L366" s="52">
        <f t="shared" si="25"/>
        <v>842.3000000000001</v>
      </c>
      <c r="M366" s="52">
        <f t="shared" si="26"/>
        <v>439.50020153164047</v>
      </c>
      <c r="N366" s="5"/>
    </row>
    <row r="367" spans="1:14" ht="94.5" hidden="1">
      <c r="A367" s="104"/>
      <c r="B367" s="106"/>
      <c r="C367" s="22" t="s">
        <v>22</v>
      </c>
      <c r="D367" s="48" t="s">
        <v>23</v>
      </c>
      <c r="E367" s="52"/>
      <c r="F367" s="8"/>
      <c r="G367" s="8"/>
      <c r="H367" s="52"/>
      <c r="I367" s="52">
        <f t="shared" si="24"/>
        <v>0</v>
      </c>
      <c r="J367" s="52"/>
      <c r="K367" s="52"/>
      <c r="L367" s="52">
        <f t="shared" si="25"/>
        <v>0</v>
      </c>
      <c r="M367" s="52" t="e">
        <f t="shared" si="26"/>
        <v>#DIV/0!</v>
      </c>
      <c r="N367" s="5"/>
    </row>
    <row r="368" spans="1:14" ht="267.75" hidden="1">
      <c r="A368" s="108"/>
      <c r="B368" s="108"/>
      <c r="C368" s="23" t="s">
        <v>28</v>
      </c>
      <c r="D368" s="34" t="s">
        <v>29</v>
      </c>
      <c r="E368" s="52">
        <f>E369</f>
        <v>0</v>
      </c>
      <c r="F368" s="52">
        <f>F369</f>
        <v>0</v>
      </c>
      <c r="G368" s="52">
        <f>G369</f>
        <v>0</v>
      </c>
      <c r="H368" s="52">
        <f>H369</f>
        <v>0</v>
      </c>
      <c r="I368" s="52">
        <f t="shared" si="24"/>
        <v>0</v>
      </c>
      <c r="J368" s="52"/>
      <c r="K368" s="52"/>
      <c r="L368" s="52">
        <f t="shared" si="25"/>
        <v>0</v>
      </c>
      <c r="M368" s="52" t="e">
        <f t="shared" si="26"/>
        <v>#DIV/0!</v>
      </c>
      <c r="N368" s="5"/>
    </row>
    <row r="369" spans="1:14" ht="47.25" hidden="1">
      <c r="A369" s="108"/>
      <c r="B369" s="108"/>
      <c r="C369" s="22" t="s">
        <v>32</v>
      </c>
      <c r="D369" s="36" t="s">
        <v>33</v>
      </c>
      <c r="E369" s="33"/>
      <c r="F369" s="33"/>
      <c r="G369" s="33"/>
      <c r="H369" s="33"/>
      <c r="I369" s="33">
        <f t="shared" si="24"/>
        <v>0</v>
      </c>
      <c r="J369" s="33"/>
      <c r="K369" s="33"/>
      <c r="L369" s="33">
        <f t="shared" si="25"/>
        <v>0</v>
      </c>
      <c r="M369" s="33" t="e">
        <f t="shared" si="26"/>
        <v>#DIV/0!</v>
      </c>
      <c r="N369" s="5"/>
    </row>
    <row r="370" spans="1:14" ht="267.75" hidden="1">
      <c r="A370" s="108"/>
      <c r="B370" s="108"/>
      <c r="C370" s="23" t="s">
        <v>34</v>
      </c>
      <c r="D370" s="34" t="s">
        <v>35</v>
      </c>
      <c r="E370" s="52">
        <v>3</v>
      </c>
      <c r="F370" s="8"/>
      <c r="G370" s="8"/>
      <c r="H370" s="52">
        <v>201.2</v>
      </c>
      <c r="I370" s="52">
        <f t="shared" si="24"/>
        <v>201.2</v>
      </c>
      <c r="J370" s="52"/>
      <c r="K370" s="52"/>
      <c r="L370" s="52">
        <f t="shared" si="25"/>
        <v>198.2</v>
      </c>
      <c r="M370" s="52">
        <f t="shared" si="26"/>
        <v>6706.666666666666</v>
      </c>
      <c r="N370" s="5"/>
    </row>
    <row r="371" spans="1:14" ht="267.75" hidden="1">
      <c r="A371" s="108"/>
      <c r="B371" s="108"/>
      <c r="C371" s="23" t="s">
        <v>36</v>
      </c>
      <c r="D371" s="34" t="s">
        <v>37</v>
      </c>
      <c r="E371" s="52">
        <v>30</v>
      </c>
      <c r="F371" s="8"/>
      <c r="G371" s="8"/>
      <c r="H371" s="52"/>
      <c r="I371" s="52">
        <f t="shared" si="24"/>
        <v>0</v>
      </c>
      <c r="J371" s="52"/>
      <c r="K371" s="52"/>
      <c r="L371" s="52">
        <f t="shared" si="25"/>
        <v>-30</v>
      </c>
      <c r="M371" s="52">
        <f t="shared" si="26"/>
        <v>0</v>
      </c>
      <c r="N371" s="5"/>
    </row>
    <row r="372" spans="1:13" ht="267.75" hidden="1">
      <c r="A372" s="108"/>
      <c r="B372" s="108"/>
      <c r="C372" s="23" t="s">
        <v>39</v>
      </c>
      <c r="D372" s="34" t="s">
        <v>120</v>
      </c>
      <c r="E372" s="52">
        <v>6104.1</v>
      </c>
      <c r="F372" s="52">
        <v>5609.5</v>
      </c>
      <c r="G372" s="52">
        <v>3662.6</v>
      </c>
      <c r="H372" s="52">
        <f>1421.7+219.9</f>
        <v>1641.6000000000001</v>
      </c>
      <c r="I372" s="52">
        <f t="shared" si="24"/>
        <v>-2020.9999999999998</v>
      </c>
      <c r="J372" s="52">
        <f>H372/G372*100</f>
        <v>44.8206192322394</v>
      </c>
      <c r="K372" s="52">
        <f>H372/F372*100</f>
        <v>29.2646403422765</v>
      </c>
      <c r="L372" s="52">
        <f t="shared" si="25"/>
        <v>-4462.5</v>
      </c>
      <c r="M372" s="52">
        <f t="shared" si="26"/>
        <v>26.893399518356514</v>
      </c>
    </row>
    <row r="373" spans="1:13" ht="267.75" hidden="1">
      <c r="A373" s="108"/>
      <c r="B373" s="108"/>
      <c r="C373" s="23" t="s">
        <v>41</v>
      </c>
      <c r="D373" s="34" t="s">
        <v>42</v>
      </c>
      <c r="E373" s="52">
        <v>2735.9</v>
      </c>
      <c r="F373" s="52"/>
      <c r="G373" s="52"/>
      <c r="H373" s="52"/>
      <c r="I373" s="52">
        <f t="shared" si="24"/>
        <v>0</v>
      </c>
      <c r="J373" s="52"/>
      <c r="K373" s="52"/>
      <c r="L373" s="52">
        <f t="shared" si="25"/>
        <v>-2735.9</v>
      </c>
      <c r="M373" s="52">
        <f t="shared" si="26"/>
        <v>0</v>
      </c>
    </row>
    <row r="374" spans="1:13" ht="267.75" hidden="1">
      <c r="A374" s="108"/>
      <c r="B374" s="108"/>
      <c r="C374" s="23" t="s">
        <v>59</v>
      </c>
      <c r="D374" s="36" t="s">
        <v>60</v>
      </c>
      <c r="E374" s="52">
        <v>41400</v>
      </c>
      <c r="F374" s="52"/>
      <c r="G374" s="52"/>
      <c r="H374" s="52"/>
      <c r="I374" s="52">
        <f t="shared" si="24"/>
        <v>0</v>
      </c>
      <c r="J374" s="52"/>
      <c r="K374" s="52"/>
      <c r="L374" s="52">
        <f t="shared" si="25"/>
        <v>-41400</v>
      </c>
      <c r="M374" s="52">
        <f t="shared" si="26"/>
        <v>0</v>
      </c>
    </row>
    <row r="375" spans="1:13" ht="267.75" hidden="1">
      <c r="A375" s="108"/>
      <c r="B375" s="108"/>
      <c r="C375" s="23" t="s">
        <v>43</v>
      </c>
      <c r="D375" s="34" t="s">
        <v>38</v>
      </c>
      <c r="E375" s="52">
        <v>-15.2</v>
      </c>
      <c r="F375" s="52"/>
      <c r="G375" s="52"/>
      <c r="H375" s="52">
        <v>-2.6</v>
      </c>
      <c r="I375" s="52">
        <f t="shared" si="24"/>
        <v>-2.6</v>
      </c>
      <c r="J375" s="52"/>
      <c r="K375" s="52"/>
      <c r="L375" s="52">
        <f t="shared" si="25"/>
        <v>12.6</v>
      </c>
      <c r="M375" s="52">
        <f t="shared" si="26"/>
        <v>17.105263157894736</v>
      </c>
    </row>
    <row r="376" spans="1:13" ht="31.5" hidden="1">
      <c r="A376" s="108"/>
      <c r="B376" s="108"/>
      <c r="C376" s="23"/>
      <c r="D376" s="3" t="s">
        <v>48</v>
      </c>
      <c r="E376" s="8">
        <f>E377-E375</f>
        <v>50521.1</v>
      </c>
      <c r="F376" s="8">
        <f>F377-F375</f>
        <v>5609.5</v>
      </c>
      <c r="G376" s="8">
        <f>G377-G375</f>
        <v>3662.6</v>
      </c>
      <c r="H376" s="8">
        <f>H377-H375</f>
        <v>3139.6000000000004</v>
      </c>
      <c r="I376" s="8">
        <f t="shared" si="24"/>
        <v>-522.9999999999995</v>
      </c>
      <c r="J376" s="8">
        <f>H376/G376*100</f>
        <v>85.72052640200951</v>
      </c>
      <c r="K376" s="8">
        <f>H376/F376*100</f>
        <v>55.96933773063554</v>
      </c>
      <c r="L376" s="8">
        <f t="shared" si="25"/>
        <v>-47381.5</v>
      </c>
      <c r="M376" s="8">
        <f t="shared" si="26"/>
        <v>6.214433177424879</v>
      </c>
    </row>
    <row r="377" spans="1:14" ht="15.75" hidden="1">
      <c r="A377" s="109"/>
      <c r="B377" s="109"/>
      <c r="C377" s="19"/>
      <c r="D377" s="3" t="s">
        <v>67</v>
      </c>
      <c r="E377" s="8">
        <f>SUM(E365:E368,E370:E375)</f>
        <v>50505.9</v>
      </c>
      <c r="F377" s="8">
        <f>SUM(F365:F368,F370:F375)</f>
        <v>5609.5</v>
      </c>
      <c r="G377" s="8">
        <f>SUM(G365:G368,G370:G375)</f>
        <v>3662.6</v>
      </c>
      <c r="H377" s="8">
        <f>SUM(H365:H368,H370:H375)</f>
        <v>3137.0000000000005</v>
      </c>
      <c r="I377" s="8">
        <f t="shared" si="24"/>
        <v>-525.5999999999995</v>
      </c>
      <c r="J377" s="8">
        <f>H377/G377*100</f>
        <v>85.64953857915144</v>
      </c>
      <c r="K377" s="8">
        <f>H377/F377*100</f>
        <v>55.92298778857297</v>
      </c>
      <c r="L377" s="8">
        <f t="shared" si="25"/>
        <v>-47368.9</v>
      </c>
      <c r="M377" s="8">
        <f t="shared" si="26"/>
        <v>6.211155528364014</v>
      </c>
      <c r="N377" s="5"/>
    </row>
    <row r="378" spans="1:14" ht="267.75" hidden="1">
      <c r="A378" s="103">
        <v>977</v>
      </c>
      <c r="B378" s="103" t="s">
        <v>162</v>
      </c>
      <c r="C378" s="23" t="s">
        <v>20</v>
      </c>
      <c r="D378" s="47" t="s">
        <v>21</v>
      </c>
      <c r="E378" s="52">
        <v>19.6</v>
      </c>
      <c r="F378" s="52"/>
      <c r="G378" s="52"/>
      <c r="H378" s="52"/>
      <c r="I378" s="52">
        <f t="shared" si="24"/>
        <v>0</v>
      </c>
      <c r="J378" s="52"/>
      <c r="K378" s="52"/>
      <c r="L378" s="52">
        <f t="shared" si="25"/>
        <v>-19.6</v>
      </c>
      <c r="M378" s="52">
        <f t="shared" si="26"/>
        <v>0</v>
      </c>
      <c r="N378" s="5"/>
    </row>
    <row r="379" spans="1:14" ht="267.75" hidden="1">
      <c r="A379" s="106"/>
      <c r="B379" s="106"/>
      <c r="C379" s="23" t="s">
        <v>28</v>
      </c>
      <c r="D379" s="34" t="s">
        <v>29</v>
      </c>
      <c r="E379" s="52">
        <f>E380+E381</f>
        <v>18.7</v>
      </c>
      <c r="F379" s="52">
        <f>F380+F381</f>
        <v>0</v>
      </c>
      <c r="G379" s="52">
        <f>G380+G381</f>
        <v>0</v>
      </c>
      <c r="H379" s="52">
        <f>H380+H381</f>
        <v>182.5</v>
      </c>
      <c r="I379" s="52">
        <f t="shared" si="24"/>
        <v>182.5</v>
      </c>
      <c r="J379" s="52"/>
      <c r="K379" s="52"/>
      <c r="L379" s="52">
        <f t="shared" si="25"/>
        <v>163.8</v>
      </c>
      <c r="M379" s="52">
        <f t="shared" si="26"/>
        <v>975.9358288770054</v>
      </c>
      <c r="N379" s="5"/>
    </row>
    <row r="380" spans="1:14" ht="47.25" hidden="1">
      <c r="A380" s="106"/>
      <c r="B380" s="106"/>
      <c r="C380" s="22" t="s">
        <v>54</v>
      </c>
      <c r="D380" s="55" t="s">
        <v>55</v>
      </c>
      <c r="E380" s="52"/>
      <c r="F380" s="52"/>
      <c r="G380" s="52"/>
      <c r="H380" s="52">
        <v>169.2</v>
      </c>
      <c r="I380" s="52">
        <f t="shared" si="24"/>
        <v>169.2</v>
      </c>
      <c r="J380" s="52"/>
      <c r="K380" s="52"/>
      <c r="L380" s="52">
        <f t="shared" si="25"/>
        <v>169.2</v>
      </c>
      <c r="M380" s="52"/>
      <c r="N380" s="5"/>
    </row>
    <row r="381" spans="1:14" ht="47.25" hidden="1">
      <c r="A381" s="106"/>
      <c r="B381" s="106"/>
      <c r="C381" s="22" t="s">
        <v>32</v>
      </c>
      <c r="D381" s="36" t="s">
        <v>33</v>
      </c>
      <c r="E381" s="52">
        <v>18.7</v>
      </c>
      <c r="F381" s="52"/>
      <c r="G381" s="52"/>
      <c r="H381" s="52">
        <v>13.3</v>
      </c>
      <c r="I381" s="52">
        <f t="shared" si="24"/>
        <v>13.3</v>
      </c>
      <c r="J381" s="52"/>
      <c r="K381" s="52"/>
      <c r="L381" s="52">
        <f t="shared" si="25"/>
        <v>-5.399999999999999</v>
      </c>
      <c r="M381" s="52">
        <f t="shared" si="26"/>
        <v>71.12299465240642</v>
      </c>
      <c r="N381" s="5"/>
    </row>
    <row r="382" spans="1:14" ht="267.75" hidden="1">
      <c r="A382" s="106"/>
      <c r="B382" s="106"/>
      <c r="C382" s="23" t="s">
        <v>34</v>
      </c>
      <c r="D382" s="34" t="s">
        <v>35</v>
      </c>
      <c r="E382" s="52">
        <v>70.8</v>
      </c>
      <c r="F382" s="52"/>
      <c r="G382" s="52"/>
      <c r="H382" s="52">
        <v>46.1</v>
      </c>
      <c r="I382" s="52">
        <f t="shared" si="24"/>
        <v>46.1</v>
      </c>
      <c r="J382" s="52"/>
      <c r="K382" s="52"/>
      <c r="L382" s="52">
        <f t="shared" si="25"/>
        <v>-24.699999999999996</v>
      </c>
      <c r="M382" s="52">
        <f t="shared" si="26"/>
        <v>65.11299435028249</v>
      </c>
      <c r="N382" s="5"/>
    </row>
    <row r="383" spans="1:14" ht="15.75" hidden="1">
      <c r="A383" s="106"/>
      <c r="B383" s="106"/>
      <c r="C383" s="23"/>
      <c r="D383" s="3" t="s">
        <v>44</v>
      </c>
      <c r="E383" s="8">
        <f>SUM(E378:E379,E382)</f>
        <v>109.1</v>
      </c>
      <c r="F383" s="8">
        <f>SUM(F378:F379,F382)</f>
        <v>0</v>
      </c>
      <c r="G383" s="8">
        <f>SUM(G378:G379,G382)</f>
        <v>0</v>
      </c>
      <c r="H383" s="8">
        <f>SUM(H378:H379,H382)</f>
        <v>228.6</v>
      </c>
      <c r="I383" s="52"/>
      <c r="J383" s="52"/>
      <c r="K383" s="52"/>
      <c r="L383" s="52"/>
      <c r="M383" s="52">
        <f t="shared" si="26"/>
        <v>209.5325389550871</v>
      </c>
      <c r="N383" s="5"/>
    </row>
    <row r="384" spans="1:14" ht="267.75" hidden="1">
      <c r="A384" s="106"/>
      <c r="B384" s="106"/>
      <c r="C384" s="23" t="s">
        <v>28</v>
      </c>
      <c r="D384" s="34" t="s">
        <v>29</v>
      </c>
      <c r="E384" s="52">
        <f>SUM(E385)</f>
        <v>91.3</v>
      </c>
      <c r="F384" s="52"/>
      <c r="G384" s="52"/>
      <c r="H384" s="52"/>
      <c r="I384" s="52"/>
      <c r="J384" s="52"/>
      <c r="K384" s="52"/>
      <c r="L384" s="52"/>
      <c r="M384" s="52">
        <f t="shared" si="26"/>
        <v>0</v>
      </c>
      <c r="N384" s="5"/>
    </row>
    <row r="385" spans="1:14" ht="267.75" hidden="1">
      <c r="A385" s="106"/>
      <c r="B385" s="106"/>
      <c r="C385" s="23" t="s">
        <v>65</v>
      </c>
      <c r="D385" s="49" t="s">
        <v>66</v>
      </c>
      <c r="E385" s="52">
        <v>91.3</v>
      </c>
      <c r="F385" s="52"/>
      <c r="G385" s="52"/>
      <c r="H385" s="52"/>
      <c r="I385" s="52"/>
      <c r="J385" s="52"/>
      <c r="K385" s="52"/>
      <c r="L385" s="52"/>
      <c r="M385" s="52">
        <f t="shared" si="26"/>
        <v>0</v>
      </c>
      <c r="N385" s="5"/>
    </row>
    <row r="386" spans="1:14" ht="15.75" hidden="1">
      <c r="A386" s="106"/>
      <c r="B386" s="106"/>
      <c r="C386" s="25"/>
      <c r="D386" s="3" t="s">
        <v>47</v>
      </c>
      <c r="E386" s="8">
        <f>E384</f>
        <v>91.3</v>
      </c>
      <c r="F386" s="8">
        <f>F384</f>
        <v>0</v>
      </c>
      <c r="G386" s="8">
        <f>G384</f>
        <v>0</v>
      </c>
      <c r="H386" s="8">
        <f>H384</f>
        <v>0</v>
      </c>
      <c r="I386" s="52"/>
      <c r="J386" s="52"/>
      <c r="K386" s="52"/>
      <c r="L386" s="52"/>
      <c r="M386" s="52">
        <f>H386/E386*100</f>
        <v>0</v>
      </c>
      <c r="N386" s="5"/>
    </row>
    <row r="387" spans="1:14" ht="15.75" hidden="1">
      <c r="A387" s="107"/>
      <c r="B387" s="107"/>
      <c r="C387" s="24"/>
      <c r="D387" s="3" t="s">
        <v>67</v>
      </c>
      <c r="E387" s="8">
        <f>E383+E386</f>
        <v>200.39999999999998</v>
      </c>
      <c r="F387" s="8">
        <f>F383+F386</f>
        <v>0</v>
      </c>
      <c r="G387" s="8">
        <f>G383+G386</f>
        <v>0</v>
      </c>
      <c r="H387" s="8">
        <f>H383+H386</f>
        <v>228.6</v>
      </c>
      <c r="I387" s="8">
        <f>H387-G387</f>
        <v>228.6</v>
      </c>
      <c r="J387" s="8"/>
      <c r="K387" s="8"/>
      <c r="L387" s="8">
        <f t="shared" si="25"/>
        <v>28.200000000000017</v>
      </c>
      <c r="M387" s="8">
        <f>H387/E387*100</f>
        <v>114.07185628742515</v>
      </c>
      <c r="N387" s="5"/>
    </row>
    <row r="388" spans="1:14" ht="267.75" hidden="1">
      <c r="A388" s="103">
        <v>985</v>
      </c>
      <c r="B388" s="103" t="s">
        <v>164</v>
      </c>
      <c r="C388" s="23" t="s">
        <v>20</v>
      </c>
      <c r="D388" s="47" t="s">
        <v>21</v>
      </c>
      <c r="E388" s="52">
        <v>12.5</v>
      </c>
      <c r="F388" s="52"/>
      <c r="G388" s="52"/>
      <c r="H388" s="52">
        <v>286.8</v>
      </c>
      <c r="I388" s="52">
        <f t="shared" si="24"/>
        <v>286.8</v>
      </c>
      <c r="J388" s="52"/>
      <c r="K388" s="52"/>
      <c r="L388" s="52">
        <f t="shared" si="25"/>
        <v>274.3</v>
      </c>
      <c r="M388" s="52">
        <f t="shared" si="26"/>
        <v>2294.4</v>
      </c>
      <c r="N388" s="5"/>
    </row>
    <row r="389" spans="1:14" ht="267.75" hidden="1">
      <c r="A389" s="106"/>
      <c r="B389" s="106"/>
      <c r="C389" s="23" t="s">
        <v>34</v>
      </c>
      <c r="D389" s="34" t="s">
        <v>35</v>
      </c>
      <c r="E389" s="52">
        <v>13.4</v>
      </c>
      <c r="F389" s="52"/>
      <c r="G389" s="52"/>
      <c r="H389" s="52"/>
      <c r="I389" s="52">
        <f t="shared" si="24"/>
        <v>0</v>
      </c>
      <c r="J389" s="52"/>
      <c r="K389" s="52"/>
      <c r="L389" s="52">
        <f t="shared" si="25"/>
        <v>-13.4</v>
      </c>
      <c r="M389" s="52">
        <f t="shared" si="26"/>
        <v>0</v>
      </c>
      <c r="N389" s="5"/>
    </row>
    <row r="390" spans="1:14" ht="267.75" hidden="1">
      <c r="A390" s="106"/>
      <c r="B390" s="106"/>
      <c r="C390" s="23" t="s">
        <v>41</v>
      </c>
      <c r="D390" s="34" t="s">
        <v>42</v>
      </c>
      <c r="E390" s="52">
        <v>111.3</v>
      </c>
      <c r="F390" s="52"/>
      <c r="G390" s="52"/>
      <c r="H390" s="52"/>
      <c r="I390" s="52">
        <f t="shared" si="24"/>
        <v>0</v>
      </c>
      <c r="J390" s="52"/>
      <c r="K390" s="52"/>
      <c r="L390" s="52">
        <f t="shared" si="25"/>
        <v>-111.3</v>
      </c>
      <c r="M390" s="52">
        <f t="shared" si="26"/>
        <v>0</v>
      </c>
      <c r="N390" s="5"/>
    </row>
    <row r="391" spans="1:14" ht="15.75" hidden="1">
      <c r="A391" s="107"/>
      <c r="B391" s="107"/>
      <c r="C391" s="24"/>
      <c r="D391" s="3" t="s">
        <v>67</v>
      </c>
      <c r="E391" s="8">
        <f>E388+E389+E390</f>
        <v>137.2</v>
      </c>
      <c r="F391" s="8">
        <f>F388+F389+F390</f>
        <v>0</v>
      </c>
      <c r="G391" s="8">
        <f>G388+G389+G390</f>
        <v>0</v>
      </c>
      <c r="H391" s="8">
        <f>H388+H389+H390</f>
        <v>286.8</v>
      </c>
      <c r="I391" s="8">
        <f t="shared" si="24"/>
        <v>286.8</v>
      </c>
      <c r="J391" s="8"/>
      <c r="K391" s="8"/>
      <c r="L391" s="8">
        <f t="shared" si="25"/>
        <v>149.60000000000002</v>
      </c>
      <c r="M391" s="8">
        <f t="shared" si="26"/>
        <v>209.0379008746356</v>
      </c>
      <c r="N391" s="5"/>
    </row>
    <row r="392" spans="1:14" ht="78.75" hidden="1">
      <c r="A392" s="100" t="s">
        <v>165</v>
      </c>
      <c r="B392" s="103" t="s">
        <v>166</v>
      </c>
      <c r="C392" s="22" t="s">
        <v>18</v>
      </c>
      <c r="D392" s="36" t="s">
        <v>116</v>
      </c>
      <c r="E392" s="52">
        <v>27888</v>
      </c>
      <c r="F392" s="52">
        <v>43279.1</v>
      </c>
      <c r="G392" s="52">
        <v>25624.1</v>
      </c>
      <c r="H392" s="52">
        <v>24132.6</v>
      </c>
      <c r="I392" s="52">
        <f t="shared" si="24"/>
        <v>-1491.5</v>
      </c>
      <c r="J392" s="52">
        <f>H392/G392*100</f>
        <v>94.17930776105307</v>
      </c>
      <c r="K392" s="52">
        <f>H392/F392*100</f>
        <v>55.76040167193865</v>
      </c>
      <c r="L392" s="52">
        <f t="shared" si="25"/>
        <v>-3755.4000000000015</v>
      </c>
      <c r="M392" s="52">
        <f t="shared" si="26"/>
        <v>86.53399311531841</v>
      </c>
      <c r="N392" s="5"/>
    </row>
    <row r="393" spans="1:14" ht="267.75" hidden="1">
      <c r="A393" s="104"/>
      <c r="B393" s="106"/>
      <c r="C393" s="23" t="s">
        <v>20</v>
      </c>
      <c r="D393" s="47" t="s">
        <v>21</v>
      </c>
      <c r="E393" s="52">
        <v>2</v>
      </c>
      <c r="F393" s="52"/>
      <c r="G393" s="52"/>
      <c r="H393" s="52">
        <v>2243.2</v>
      </c>
      <c r="I393" s="52">
        <f t="shared" si="24"/>
        <v>2243.2</v>
      </c>
      <c r="J393" s="52"/>
      <c r="K393" s="52"/>
      <c r="L393" s="52">
        <f t="shared" si="25"/>
        <v>2241.2</v>
      </c>
      <c r="M393" s="52">
        <f t="shared" si="26"/>
        <v>112159.99999999999</v>
      </c>
      <c r="N393" s="5"/>
    </row>
    <row r="394" spans="1:14" ht="267.75" hidden="1">
      <c r="A394" s="108"/>
      <c r="B394" s="108"/>
      <c r="C394" s="23" t="s">
        <v>101</v>
      </c>
      <c r="D394" s="34" t="s">
        <v>102</v>
      </c>
      <c r="E394" s="52"/>
      <c r="F394" s="52">
        <v>389.3</v>
      </c>
      <c r="G394" s="52">
        <v>389.3</v>
      </c>
      <c r="H394" s="52">
        <v>401.3</v>
      </c>
      <c r="I394" s="52">
        <f aca="true" t="shared" si="29" ref="I394:I438">H394-G394</f>
        <v>12</v>
      </c>
      <c r="J394" s="52"/>
      <c r="K394" s="52">
        <f aca="true" t="shared" si="30" ref="K394:K438">H394/F394*100</f>
        <v>103.08245568969947</v>
      </c>
      <c r="L394" s="52">
        <f aca="true" t="shared" si="31" ref="L394:L438">H394-E394</f>
        <v>401.3</v>
      </c>
      <c r="M394" s="52"/>
      <c r="N394" s="5"/>
    </row>
    <row r="395" spans="1:14" ht="267.75" hidden="1">
      <c r="A395" s="108"/>
      <c r="B395" s="108"/>
      <c r="C395" s="23" t="s">
        <v>28</v>
      </c>
      <c r="D395" s="34" t="s">
        <v>29</v>
      </c>
      <c r="E395" s="52">
        <f>E396</f>
        <v>13.1</v>
      </c>
      <c r="F395" s="52">
        <f>F396</f>
        <v>0</v>
      </c>
      <c r="G395" s="52">
        <f>G396</f>
        <v>0</v>
      </c>
      <c r="H395" s="52">
        <f>H396</f>
        <v>0</v>
      </c>
      <c r="I395" s="52">
        <f t="shared" si="29"/>
        <v>0</v>
      </c>
      <c r="J395" s="52"/>
      <c r="K395" s="52"/>
      <c r="L395" s="52">
        <f t="shared" si="31"/>
        <v>-13.1</v>
      </c>
      <c r="M395" s="52">
        <f aca="true" t="shared" si="32" ref="M395:M438">H395/E395*100</f>
        <v>0</v>
      </c>
      <c r="N395" s="5"/>
    </row>
    <row r="396" spans="1:14" ht="47.25" hidden="1">
      <c r="A396" s="108"/>
      <c r="B396" s="108"/>
      <c r="C396" s="22" t="s">
        <v>32</v>
      </c>
      <c r="D396" s="36" t="s">
        <v>33</v>
      </c>
      <c r="E396" s="52">
        <v>13.1</v>
      </c>
      <c r="F396" s="52"/>
      <c r="G396" s="52"/>
      <c r="H396" s="52"/>
      <c r="I396" s="52">
        <f t="shared" si="29"/>
        <v>0</v>
      </c>
      <c r="J396" s="52"/>
      <c r="K396" s="52"/>
      <c r="L396" s="52">
        <f t="shared" si="31"/>
        <v>-13.1</v>
      </c>
      <c r="M396" s="52">
        <f t="shared" si="32"/>
        <v>0</v>
      </c>
      <c r="N396" s="5"/>
    </row>
    <row r="397" spans="1:14" ht="267.75" hidden="1">
      <c r="A397" s="108"/>
      <c r="B397" s="108"/>
      <c r="C397" s="23" t="s">
        <v>34</v>
      </c>
      <c r="D397" s="34" t="s">
        <v>35</v>
      </c>
      <c r="E397" s="52"/>
      <c r="F397" s="52"/>
      <c r="G397" s="52"/>
      <c r="H397" s="52"/>
      <c r="I397" s="52">
        <f t="shared" si="29"/>
        <v>0</v>
      </c>
      <c r="J397" s="52"/>
      <c r="K397" s="52"/>
      <c r="L397" s="52">
        <f t="shared" si="31"/>
        <v>0</v>
      </c>
      <c r="M397" s="52" t="e">
        <f t="shared" si="32"/>
        <v>#DIV/0!</v>
      </c>
      <c r="N397" s="5"/>
    </row>
    <row r="398" spans="1:14" ht="267.75" hidden="1">
      <c r="A398" s="108"/>
      <c r="B398" s="108"/>
      <c r="C398" s="23" t="s">
        <v>36</v>
      </c>
      <c r="D398" s="34" t="s">
        <v>37</v>
      </c>
      <c r="E398" s="52"/>
      <c r="F398" s="52"/>
      <c r="G398" s="52"/>
      <c r="H398" s="52">
        <v>15921.5</v>
      </c>
      <c r="I398" s="52">
        <f t="shared" si="29"/>
        <v>15921.5</v>
      </c>
      <c r="J398" s="52"/>
      <c r="K398" s="52"/>
      <c r="L398" s="52">
        <f t="shared" si="31"/>
        <v>15921.5</v>
      </c>
      <c r="M398" s="52"/>
      <c r="N398" s="5"/>
    </row>
    <row r="399" spans="1:14" ht="267.75" hidden="1">
      <c r="A399" s="108"/>
      <c r="B399" s="108"/>
      <c r="C399" s="23" t="s">
        <v>39</v>
      </c>
      <c r="D399" s="34" t="s">
        <v>40</v>
      </c>
      <c r="E399" s="33"/>
      <c r="F399" s="33">
        <f>54758.5+4383.3</f>
        <v>59141.8</v>
      </c>
      <c r="G399" s="33">
        <v>59141.8</v>
      </c>
      <c r="H399" s="33">
        <f>4383.3+54758.5</f>
        <v>59141.8</v>
      </c>
      <c r="I399" s="33">
        <f t="shared" si="29"/>
        <v>0</v>
      </c>
      <c r="J399" s="33">
        <f aca="true" t="shared" si="33" ref="J399:J438">H399/G399*100</f>
        <v>100</v>
      </c>
      <c r="K399" s="33">
        <f t="shared" si="30"/>
        <v>100</v>
      </c>
      <c r="L399" s="33">
        <f t="shared" si="31"/>
        <v>59141.8</v>
      </c>
      <c r="M399" s="33"/>
      <c r="N399" s="5"/>
    </row>
    <row r="400" spans="1:14" ht="267.75" hidden="1">
      <c r="A400" s="108"/>
      <c r="B400" s="108"/>
      <c r="C400" s="23" t="s">
        <v>41</v>
      </c>
      <c r="D400" s="34" t="s">
        <v>42</v>
      </c>
      <c r="E400" s="33">
        <v>85405.5</v>
      </c>
      <c r="F400" s="52">
        <f>25834.6+39640.5+18.3</f>
        <v>65493.4</v>
      </c>
      <c r="G400" s="52">
        <f>10.7+30717.3+25834.6</f>
        <v>56562.6</v>
      </c>
      <c r="H400" s="52">
        <f>13.7+32947.2+25225.2</f>
        <v>58186.09999999999</v>
      </c>
      <c r="I400" s="33">
        <f t="shared" si="29"/>
        <v>1623.4999999999927</v>
      </c>
      <c r="J400" s="33">
        <f t="shared" si="33"/>
        <v>102.87027116858134</v>
      </c>
      <c r="K400" s="33">
        <f t="shared" si="30"/>
        <v>88.84269254611914</v>
      </c>
      <c r="L400" s="33">
        <f t="shared" si="31"/>
        <v>-27219.40000000001</v>
      </c>
      <c r="M400" s="33">
        <f t="shared" si="32"/>
        <v>68.12921884421962</v>
      </c>
      <c r="N400" s="5"/>
    </row>
    <row r="401" spans="1:14" ht="267.75" hidden="1">
      <c r="A401" s="108"/>
      <c r="B401" s="108"/>
      <c r="C401" s="23" t="s">
        <v>59</v>
      </c>
      <c r="D401" s="36" t="s">
        <v>60</v>
      </c>
      <c r="E401" s="52">
        <v>32115.9</v>
      </c>
      <c r="F401" s="52">
        <v>48065.8</v>
      </c>
      <c r="G401" s="52">
        <v>48065.8</v>
      </c>
      <c r="H401" s="52">
        <v>9072.9</v>
      </c>
      <c r="I401" s="52">
        <f t="shared" si="29"/>
        <v>-38992.9</v>
      </c>
      <c r="J401" s="52">
        <f t="shared" si="33"/>
        <v>18.87599915116361</v>
      </c>
      <c r="K401" s="52">
        <f t="shared" si="30"/>
        <v>18.87599915116361</v>
      </c>
      <c r="L401" s="52">
        <f t="shared" si="31"/>
        <v>-23043</v>
      </c>
      <c r="M401" s="52">
        <f t="shared" si="32"/>
        <v>28.25049274658347</v>
      </c>
      <c r="N401" s="5"/>
    </row>
    <row r="402" spans="1:14" ht="267.75" hidden="1">
      <c r="A402" s="108"/>
      <c r="B402" s="108"/>
      <c r="C402" s="23" t="s">
        <v>43</v>
      </c>
      <c r="D402" s="34" t="s">
        <v>38</v>
      </c>
      <c r="E402" s="52">
        <v>-6048.3</v>
      </c>
      <c r="F402" s="52"/>
      <c r="G402" s="52"/>
      <c r="H402" s="52">
        <v>-39572.2</v>
      </c>
      <c r="I402" s="52">
        <f t="shared" si="29"/>
        <v>-39572.2</v>
      </c>
      <c r="J402" s="52"/>
      <c r="K402" s="52"/>
      <c r="L402" s="52">
        <f t="shared" si="31"/>
        <v>-33523.899999999994</v>
      </c>
      <c r="M402" s="52">
        <f t="shared" si="32"/>
        <v>654.2697948183786</v>
      </c>
      <c r="N402" s="5"/>
    </row>
    <row r="403" spans="1:14" ht="31.5" hidden="1">
      <c r="A403" s="108"/>
      <c r="B403" s="108"/>
      <c r="C403" s="25"/>
      <c r="D403" s="3" t="s">
        <v>48</v>
      </c>
      <c r="E403" s="8">
        <f>E404-E402</f>
        <v>145424.5</v>
      </c>
      <c r="F403" s="8">
        <f>F404-F402</f>
        <v>216369.40000000002</v>
      </c>
      <c r="G403" s="8">
        <f>G404-G402</f>
        <v>189783.59999999998</v>
      </c>
      <c r="H403" s="8">
        <f>H404-H402</f>
        <v>169099.4</v>
      </c>
      <c r="I403" s="8">
        <f t="shared" si="29"/>
        <v>-20684.199999999983</v>
      </c>
      <c r="J403" s="8">
        <f t="shared" si="33"/>
        <v>89.10116574877914</v>
      </c>
      <c r="K403" s="8">
        <f t="shared" si="30"/>
        <v>78.15310298036597</v>
      </c>
      <c r="L403" s="8">
        <f t="shared" si="31"/>
        <v>23674.899999999994</v>
      </c>
      <c r="M403" s="8">
        <f t="shared" si="32"/>
        <v>116.27985655787023</v>
      </c>
      <c r="N403" s="5"/>
    </row>
    <row r="404" spans="1:14" ht="15.75" hidden="1">
      <c r="A404" s="109"/>
      <c r="B404" s="109"/>
      <c r="C404" s="19"/>
      <c r="D404" s="3" t="s">
        <v>67</v>
      </c>
      <c r="E404" s="8">
        <f>SUM(E392:E395,E397:E402)</f>
        <v>139376.2</v>
      </c>
      <c r="F404" s="8">
        <f>SUM(F392:F395,F397:F402)</f>
        <v>216369.40000000002</v>
      </c>
      <c r="G404" s="8">
        <f>SUM(G392:G395,G397:G402)</f>
        <v>189783.59999999998</v>
      </c>
      <c r="H404" s="8">
        <f>SUM(H392:H395,H397:H402)</f>
        <v>129527.2</v>
      </c>
      <c r="I404" s="8">
        <f t="shared" si="29"/>
        <v>-60256.39999999998</v>
      </c>
      <c r="J404" s="8">
        <f t="shared" si="33"/>
        <v>68.24994361999669</v>
      </c>
      <c r="K404" s="8">
        <f t="shared" si="30"/>
        <v>59.86391791075817</v>
      </c>
      <c r="L404" s="8">
        <f t="shared" si="31"/>
        <v>-9849.000000000015</v>
      </c>
      <c r="M404" s="8">
        <f t="shared" si="32"/>
        <v>92.9335137562941</v>
      </c>
      <c r="N404" s="5"/>
    </row>
    <row r="405" spans="1:13" ht="63" hidden="1">
      <c r="A405" s="100" t="s">
        <v>167</v>
      </c>
      <c r="B405" s="103" t="s">
        <v>168</v>
      </c>
      <c r="C405" s="22" t="s">
        <v>12</v>
      </c>
      <c r="D405" s="45" t="s">
        <v>13</v>
      </c>
      <c r="E405" s="33">
        <v>224927.2</v>
      </c>
      <c r="F405" s="33">
        <v>405179.2</v>
      </c>
      <c r="G405" s="33">
        <v>186068.9</v>
      </c>
      <c r="H405" s="33">
        <v>244859.7</v>
      </c>
      <c r="I405" s="33">
        <f t="shared" si="29"/>
        <v>58790.80000000002</v>
      </c>
      <c r="J405" s="33">
        <f t="shared" si="33"/>
        <v>131.5962527859304</v>
      </c>
      <c r="K405" s="33">
        <f t="shared" si="30"/>
        <v>60.43244569316491</v>
      </c>
      <c r="L405" s="33">
        <f t="shared" si="31"/>
        <v>19932.5</v>
      </c>
      <c r="M405" s="33">
        <f t="shared" si="32"/>
        <v>108.8617561593262</v>
      </c>
    </row>
    <row r="406" spans="1:13" ht="267.75" hidden="1">
      <c r="A406" s="104"/>
      <c r="B406" s="106"/>
      <c r="C406" s="23" t="s">
        <v>169</v>
      </c>
      <c r="D406" s="34" t="s">
        <v>170</v>
      </c>
      <c r="E406" s="33">
        <v>17198</v>
      </c>
      <c r="F406" s="33">
        <v>37924.1</v>
      </c>
      <c r="G406" s="33">
        <v>12900</v>
      </c>
      <c r="H406" s="33">
        <v>15668.6</v>
      </c>
      <c r="I406" s="33">
        <f t="shared" si="29"/>
        <v>2768.6000000000004</v>
      </c>
      <c r="J406" s="33">
        <f t="shared" si="33"/>
        <v>121.46201550387596</v>
      </c>
      <c r="K406" s="33">
        <f t="shared" si="30"/>
        <v>41.31568053032241</v>
      </c>
      <c r="L406" s="33">
        <f t="shared" si="31"/>
        <v>-1529.3999999999996</v>
      </c>
      <c r="M406" s="33">
        <f t="shared" si="32"/>
        <v>91.10710547738108</v>
      </c>
    </row>
    <row r="407" spans="1:13" ht="267.75" hidden="1">
      <c r="A407" s="104"/>
      <c r="B407" s="106"/>
      <c r="C407" s="23" t="s">
        <v>20</v>
      </c>
      <c r="D407" s="47" t="s">
        <v>21</v>
      </c>
      <c r="E407" s="56">
        <v>157</v>
      </c>
      <c r="F407" s="33"/>
      <c r="G407" s="33"/>
      <c r="H407" s="33">
        <v>36.9</v>
      </c>
      <c r="I407" s="56">
        <f t="shared" si="29"/>
        <v>36.9</v>
      </c>
      <c r="J407" s="56"/>
      <c r="K407" s="56"/>
      <c r="L407" s="56">
        <f t="shared" si="31"/>
        <v>-120.1</v>
      </c>
      <c r="M407" s="56">
        <f t="shared" si="32"/>
        <v>23.503184713375795</v>
      </c>
    </row>
    <row r="408" spans="1:13" ht="47.25" hidden="1">
      <c r="A408" s="104"/>
      <c r="B408" s="106"/>
      <c r="C408" s="22" t="s">
        <v>26</v>
      </c>
      <c r="D408" s="36" t="s">
        <v>27</v>
      </c>
      <c r="E408" s="33">
        <v>173704.2</v>
      </c>
      <c r="F408" s="33">
        <v>194210.3</v>
      </c>
      <c r="G408" s="33">
        <v>117169.6</v>
      </c>
      <c r="H408" s="33">
        <v>36659.9</v>
      </c>
      <c r="I408" s="33">
        <f t="shared" si="29"/>
        <v>-80509.70000000001</v>
      </c>
      <c r="J408" s="33">
        <f t="shared" si="33"/>
        <v>31.28789378814983</v>
      </c>
      <c r="K408" s="33">
        <f t="shared" si="30"/>
        <v>18.876393270593788</v>
      </c>
      <c r="L408" s="33">
        <f t="shared" si="31"/>
        <v>-137044.30000000002</v>
      </c>
      <c r="M408" s="33">
        <f t="shared" si="32"/>
        <v>21.10478618248724</v>
      </c>
    </row>
    <row r="409" spans="1:13" ht="267.75" hidden="1">
      <c r="A409" s="104"/>
      <c r="B409" s="106"/>
      <c r="C409" s="23" t="s">
        <v>34</v>
      </c>
      <c r="D409" s="34" t="s">
        <v>35</v>
      </c>
      <c r="E409" s="33">
        <v>-710.8</v>
      </c>
      <c r="F409" s="33"/>
      <c r="G409" s="33"/>
      <c r="H409" s="33">
        <v>-24.3</v>
      </c>
      <c r="I409" s="33">
        <f t="shared" si="29"/>
        <v>-24.3</v>
      </c>
      <c r="J409" s="33"/>
      <c r="K409" s="33"/>
      <c r="L409" s="33">
        <f t="shared" si="31"/>
        <v>686.5</v>
      </c>
      <c r="M409" s="33">
        <f t="shared" si="32"/>
        <v>3.4186831738885766</v>
      </c>
    </row>
    <row r="410" spans="1:13" ht="267.75" hidden="1">
      <c r="A410" s="104"/>
      <c r="B410" s="106"/>
      <c r="C410" s="23" t="s">
        <v>36</v>
      </c>
      <c r="D410" s="34" t="s">
        <v>163</v>
      </c>
      <c r="E410" s="33"/>
      <c r="F410" s="33"/>
      <c r="G410" s="33"/>
      <c r="H410" s="33">
        <v>2.4</v>
      </c>
      <c r="I410" s="33">
        <f t="shared" si="29"/>
        <v>2.4</v>
      </c>
      <c r="J410" s="33"/>
      <c r="K410" s="33"/>
      <c r="L410" s="33">
        <f t="shared" si="31"/>
        <v>2.4</v>
      </c>
      <c r="M410" s="33"/>
    </row>
    <row r="411" spans="1:13" ht="267.75" hidden="1">
      <c r="A411" s="104"/>
      <c r="B411" s="106"/>
      <c r="C411" s="23" t="s">
        <v>41</v>
      </c>
      <c r="D411" s="34" t="s">
        <v>42</v>
      </c>
      <c r="E411" s="33">
        <v>27.8</v>
      </c>
      <c r="F411" s="33"/>
      <c r="G411" s="33"/>
      <c r="H411" s="33"/>
      <c r="I411" s="33">
        <f t="shared" si="29"/>
        <v>0</v>
      </c>
      <c r="J411" s="33"/>
      <c r="K411" s="33"/>
      <c r="L411" s="33">
        <f t="shared" si="31"/>
        <v>-27.8</v>
      </c>
      <c r="M411" s="33">
        <f t="shared" si="32"/>
        <v>0</v>
      </c>
    </row>
    <row r="412" spans="1:14" ht="15.75" hidden="1">
      <c r="A412" s="104"/>
      <c r="B412" s="106"/>
      <c r="C412" s="24"/>
      <c r="D412" s="3" t="s">
        <v>44</v>
      </c>
      <c r="E412" s="8">
        <f>SUM(E405:E411)</f>
        <v>415303.4</v>
      </c>
      <c r="F412" s="8">
        <f>SUM(F405:F411)</f>
        <v>637313.6</v>
      </c>
      <c r="G412" s="8">
        <f>SUM(G405:G411)</f>
        <v>316138.5</v>
      </c>
      <c r="H412" s="8">
        <f>SUM(H405:H411)</f>
        <v>297203.20000000007</v>
      </c>
      <c r="I412" s="8">
        <f t="shared" si="29"/>
        <v>-18935.29999999993</v>
      </c>
      <c r="J412" s="8">
        <f t="shared" si="33"/>
        <v>94.01044162605949</v>
      </c>
      <c r="K412" s="8">
        <f t="shared" si="30"/>
        <v>46.63374514524718</v>
      </c>
      <c r="L412" s="8">
        <f t="shared" si="31"/>
        <v>-118100.19999999995</v>
      </c>
      <c r="M412" s="8">
        <f t="shared" si="32"/>
        <v>71.5629103927394</v>
      </c>
      <c r="N412" s="5"/>
    </row>
    <row r="413" spans="1:13" ht="267.75" hidden="1">
      <c r="A413" s="104"/>
      <c r="B413" s="106"/>
      <c r="C413" s="23" t="s">
        <v>171</v>
      </c>
      <c r="D413" s="34" t="s">
        <v>172</v>
      </c>
      <c r="E413" s="33">
        <v>56133.5</v>
      </c>
      <c r="F413" s="33">
        <v>53346</v>
      </c>
      <c r="G413" s="33">
        <v>33719.1</v>
      </c>
      <c r="H413" s="33">
        <v>41876.3</v>
      </c>
      <c r="I413" s="33">
        <f t="shared" si="29"/>
        <v>8157.200000000004</v>
      </c>
      <c r="J413" s="33">
        <f t="shared" si="33"/>
        <v>124.1916302629667</v>
      </c>
      <c r="K413" s="33">
        <f t="shared" si="30"/>
        <v>78.4994188880141</v>
      </c>
      <c r="L413" s="33">
        <f t="shared" si="31"/>
        <v>-14257.199999999997</v>
      </c>
      <c r="M413" s="33">
        <f t="shared" si="32"/>
        <v>74.60126306038283</v>
      </c>
    </row>
    <row r="414" spans="1:13" ht="267.75" hidden="1">
      <c r="A414" s="104"/>
      <c r="B414" s="106"/>
      <c r="C414" s="23" t="s">
        <v>173</v>
      </c>
      <c r="D414" s="34" t="s">
        <v>174</v>
      </c>
      <c r="E414" s="33">
        <v>1923891.7</v>
      </c>
      <c r="F414" s="33">
        <f>89234.5+3315250.5</f>
        <v>3404485</v>
      </c>
      <c r="G414" s="33">
        <f>46942.3+1975923.5</f>
        <v>2022865.8</v>
      </c>
      <c r="H414" s="33">
        <f>82735+1909100.4</f>
        <v>1991835.4</v>
      </c>
      <c r="I414" s="33">
        <f t="shared" si="29"/>
        <v>-31030.40000000014</v>
      </c>
      <c r="J414" s="33">
        <f t="shared" si="33"/>
        <v>98.46601786435856</v>
      </c>
      <c r="K414" s="33">
        <f t="shared" si="30"/>
        <v>58.50621753363578</v>
      </c>
      <c r="L414" s="33">
        <f t="shared" si="31"/>
        <v>67943.69999999995</v>
      </c>
      <c r="M414" s="33">
        <f t="shared" si="32"/>
        <v>103.53157612769992</v>
      </c>
    </row>
    <row r="415" spans="1:13" ht="267.75" hidden="1">
      <c r="A415" s="104"/>
      <c r="B415" s="106"/>
      <c r="C415" s="23" t="s">
        <v>63</v>
      </c>
      <c r="D415" s="50" t="s">
        <v>64</v>
      </c>
      <c r="E415" s="52">
        <v>23244.9</v>
      </c>
      <c r="F415" s="33"/>
      <c r="G415" s="33"/>
      <c r="H415" s="33">
        <v>288.6</v>
      </c>
      <c r="I415" s="52">
        <f t="shared" si="29"/>
        <v>288.6</v>
      </c>
      <c r="J415" s="52"/>
      <c r="K415" s="52"/>
      <c r="L415" s="52">
        <f t="shared" si="31"/>
        <v>-22956.300000000003</v>
      </c>
      <c r="M415" s="52">
        <f t="shared" si="32"/>
        <v>1.241562665358853</v>
      </c>
    </row>
    <row r="416" spans="1:13" ht="63" hidden="1">
      <c r="A416" s="104"/>
      <c r="B416" s="106"/>
      <c r="C416" s="22" t="s">
        <v>12</v>
      </c>
      <c r="D416" s="45" t="s">
        <v>13</v>
      </c>
      <c r="E416" s="52">
        <v>-49.8</v>
      </c>
      <c r="F416" s="33"/>
      <c r="G416" s="33"/>
      <c r="H416" s="33"/>
      <c r="I416" s="52">
        <f t="shared" si="29"/>
        <v>0</v>
      </c>
      <c r="J416" s="52"/>
      <c r="K416" s="52"/>
      <c r="L416" s="52">
        <f t="shared" si="31"/>
        <v>49.8</v>
      </c>
      <c r="M416" s="52">
        <f t="shared" si="32"/>
        <v>0</v>
      </c>
    </row>
    <row r="417" spans="1:13" ht="267.75" hidden="1">
      <c r="A417" s="104"/>
      <c r="B417" s="106"/>
      <c r="C417" s="23" t="s">
        <v>28</v>
      </c>
      <c r="D417" s="34" t="s">
        <v>29</v>
      </c>
      <c r="E417" s="33">
        <f>E418</f>
        <v>303.1</v>
      </c>
      <c r="F417" s="33">
        <f>F418</f>
        <v>729</v>
      </c>
      <c r="G417" s="33">
        <f>G418</f>
        <v>391.1</v>
      </c>
      <c r="H417" s="33">
        <f>H418</f>
        <v>394.2</v>
      </c>
      <c r="I417" s="33">
        <f t="shared" si="29"/>
        <v>3.099999999999966</v>
      </c>
      <c r="J417" s="33">
        <f t="shared" si="33"/>
        <v>100.7926361544362</v>
      </c>
      <c r="K417" s="33">
        <f t="shared" si="30"/>
        <v>54.074074074074076</v>
      </c>
      <c r="L417" s="33">
        <f t="shared" si="31"/>
        <v>91.09999999999997</v>
      </c>
      <c r="M417" s="33">
        <f t="shared" si="32"/>
        <v>130.056087099967</v>
      </c>
    </row>
    <row r="418" spans="1:13" ht="31.5" hidden="1">
      <c r="A418" s="104"/>
      <c r="B418" s="106"/>
      <c r="C418" s="22" t="s">
        <v>175</v>
      </c>
      <c r="D418" s="36" t="s">
        <v>176</v>
      </c>
      <c r="E418" s="33">
        <v>303.1</v>
      </c>
      <c r="F418" s="33">
        <v>729</v>
      </c>
      <c r="G418" s="33">
        <v>391.1</v>
      </c>
      <c r="H418" s="33">
        <v>394.2</v>
      </c>
      <c r="I418" s="33">
        <f t="shared" si="29"/>
        <v>3.099999999999966</v>
      </c>
      <c r="J418" s="33">
        <f t="shared" si="33"/>
        <v>100.7926361544362</v>
      </c>
      <c r="K418" s="33">
        <f t="shared" si="30"/>
        <v>54.074074074074076</v>
      </c>
      <c r="L418" s="33">
        <f t="shared" si="31"/>
        <v>91.09999999999997</v>
      </c>
      <c r="M418" s="33">
        <f t="shared" si="32"/>
        <v>130.056087099967</v>
      </c>
    </row>
    <row r="419" spans="1:14" ht="15.75" hidden="1">
      <c r="A419" s="104"/>
      <c r="B419" s="106"/>
      <c r="C419" s="24"/>
      <c r="D419" s="3" t="s">
        <v>47</v>
      </c>
      <c r="E419" s="8">
        <f>SUM(E413:E417)</f>
        <v>2003523.4</v>
      </c>
      <c r="F419" s="8">
        <f>SUM(F413:F417)</f>
        <v>3458560</v>
      </c>
      <c r="G419" s="8">
        <f>SUM(G413:G417)</f>
        <v>2056976.0000000002</v>
      </c>
      <c r="H419" s="8">
        <f>SUM(H413:H417)</f>
        <v>2034394.5</v>
      </c>
      <c r="I419" s="8">
        <f t="shared" si="29"/>
        <v>-22581.500000000233</v>
      </c>
      <c r="J419" s="8">
        <f t="shared" si="33"/>
        <v>98.90219915059775</v>
      </c>
      <c r="K419" s="8">
        <f t="shared" si="30"/>
        <v>58.82200973815692</v>
      </c>
      <c r="L419" s="8">
        <f t="shared" si="31"/>
        <v>30871.100000000093</v>
      </c>
      <c r="M419" s="8">
        <f t="shared" si="32"/>
        <v>101.54084050128888</v>
      </c>
      <c r="N419" s="5"/>
    </row>
    <row r="420" spans="1:14" ht="15.75" hidden="1">
      <c r="A420" s="105"/>
      <c r="B420" s="107"/>
      <c r="C420" s="24"/>
      <c r="D420" s="3" t="s">
        <v>67</v>
      </c>
      <c r="E420" s="8">
        <f>E412+E419</f>
        <v>2418826.8</v>
      </c>
      <c r="F420" s="8">
        <f>F412+F419</f>
        <v>4095873.6</v>
      </c>
      <c r="G420" s="8">
        <f>G412+G419</f>
        <v>2373114.5</v>
      </c>
      <c r="H420" s="8">
        <f>H412+H419</f>
        <v>2331597.7</v>
      </c>
      <c r="I420" s="8">
        <f t="shared" si="29"/>
        <v>-41516.799999999814</v>
      </c>
      <c r="J420" s="8">
        <f t="shared" si="33"/>
        <v>98.25053531972436</v>
      </c>
      <c r="K420" s="8">
        <f t="shared" si="30"/>
        <v>56.92552865889221</v>
      </c>
      <c r="L420" s="8">
        <f t="shared" si="31"/>
        <v>-87229.09999999963</v>
      </c>
      <c r="M420" s="8">
        <f t="shared" si="32"/>
        <v>96.39374344620293</v>
      </c>
      <c r="N420" s="5"/>
    </row>
    <row r="421" spans="1:14" ht="267.75" hidden="1">
      <c r="A421" s="103"/>
      <c r="B421" s="103" t="s">
        <v>177</v>
      </c>
      <c r="C421" s="23" t="s">
        <v>63</v>
      </c>
      <c r="D421" s="50" t="s">
        <v>64</v>
      </c>
      <c r="E421" s="52"/>
      <c r="F421" s="8"/>
      <c r="G421" s="8"/>
      <c r="H421" s="52"/>
      <c r="I421" s="52">
        <f t="shared" si="29"/>
        <v>0</v>
      </c>
      <c r="J421" s="52" t="e">
        <f t="shared" si="33"/>
        <v>#DIV/0!</v>
      </c>
      <c r="K421" s="52" t="e">
        <f t="shared" si="30"/>
        <v>#DIV/0!</v>
      </c>
      <c r="L421" s="52">
        <f t="shared" si="31"/>
        <v>0</v>
      </c>
      <c r="M421" s="52" t="e">
        <f t="shared" si="32"/>
        <v>#DIV/0!</v>
      </c>
      <c r="N421" s="5"/>
    </row>
    <row r="422" spans="1:14" ht="346.5" hidden="1">
      <c r="A422" s="106"/>
      <c r="B422" s="106"/>
      <c r="C422" s="26" t="s">
        <v>178</v>
      </c>
      <c r="D422" s="51" t="s">
        <v>179</v>
      </c>
      <c r="E422" s="33"/>
      <c r="F422" s="33"/>
      <c r="G422" s="33"/>
      <c r="H422" s="33"/>
      <c r="I422" s="33">
        <f t="shared" si="29"/>
        <v>0</v>
      </c>
      <c r="J422" s="33" t="e">
        <f t="shared" si="33"/>
        <v>#DIV/0!</v>
      </c>
      <c r="K422" s="33" t="e">
        <f t="shared" si="30"/>
        <v>#DIV/0!</v>
      </c>
      <c r="L422" s="33">
        <f t="shared" si="31"/>
        <v>0</v>
      </c>
      <c r="M422" s="33" t="e">
        <f t="shared" si="32"/>
        <v>#DIV/0!</v>
      </c>
      <c r="N422" s="5"/>
    </row>
    <row r="423" spans="1:14" ht="78.75" hidden="1">
      <c r="A423" s="106"/>
      <c r="B423" s="106"/>
      <c r="C423" s="28" t="s">
        <v>180</v>
      </c>
      <c r="D423" s="51" t="s">
        <v>181</v>
      </c>
      <c r="E423" s="33"/>
      <c r="F423" s="33"/>
      <c r="G423" s="33"/>
      <c r="H423" s="33"/>
      <c r="I423" s="33">
        <f t="shared" si="29"/>
        <v>0</v>
      </c>
      <c r="J423" s="33" t="e">
        <f t="shared" si="33"/>
        <v>#DIV/0!</v>
      </c>
      <c r="K423" s="33" t="e">
        <f t="shared" si="30"/>
        <v>#DIV/0!</v>
      </c>
      <c r="L423" s="33">
        <f t="shared" si="31"/>
        <v>0</v>
      </c>
      <c r="M423" s="33" t="e">
        <f t="shared" si="32"/>
        <v>#DIV/0!</v>
      </c>
      <c r="N423" s="5"/>
    </row>
    <row r="424" spans="1:13" ht="267.75" hidden="1">
      <c r="A424" s="108"/>
      <c r="B424" s="108"/>
      <c r="C424" s="23" t="s">
        <v>28</v>
      </c>
      <c r="D424" s="34" t="s">
        <v>29</v>
      </c>
      <c r="E424" s="33">
        <f>SUM(E425:E425)</f>
        <v>0</v>
      </c>
      <c r="F424" s="33">
        <f>SUM(F425:F425)</f>
        <v>0</v>
      </c>
      <c r="G424" s="33">
        <f>SUM(G425:G425)</f>
        <v>0</v>
      </c>
      <c r="H424" s="33">
        <f>SUM(H425:H425)</f>
        <v>0</v>
      </c>
      <c r="I424" s="33">
        <f t="shared" si="29"/>
        <v>0</v>
      </c>
      <c r="J424" s="33" t="e">
        <f t="shared" si="33"/>
        <v>#DIV/0!</v>
      </c>
      <c r="K424" s="33" t="e">
        <f t="shared" si="30"/>
        <v>#DIV/0!</v>
      </c>
      <c r="L424" s="33">
        <f t="shared" si="31"/>
        <v>0</v>
      </c>
      <c r="M424" s="33" t="e">
        <f t="shared" si="32"/>
        <v>#DIV/0!</v>
      </c>
    </row>
    <row r="425" spans="1:13" ht="267.75" hidden="1">
      <c r="A425" s="108"/>
      <c r="B425" s="108"/>
      <c r="C425" s="23" t="s">
        <v>65</v>
      </c>
      <c r="D425" s="49" t="s">
        <v>66</v>
      </c>
      <c r="E425" s="33"/>
      <c r="F425" s="33"/>
      <c r="G425" s="33"/>
      <c r="H425" s="33"/>
      <c r="I425" s="33">
        <f t="shared" si="29"/>
        <v>0</v>
      </c>
      <c r="J425" s="33" t="e">
        <f t="shared" si="33"/>
        <v>#DIV/0!</v>
      </c>
      <c r="K425" s="33" t="e">
        <f t="shared" si="30"/>
        <v>#DIV/0!</v>
      </c>
      <c r="L425" s="33">
        <f t="shared" si="31"/>
        <v>0</v>
      </c>
      <c r="M425" s="33" t="e">
        <f t="shared" si="32"/>
        <v>#DIV/0!</v>
      </c>
    </row>
    <row r="426" spans="1:13" ht="267.75" hidden="1">
      <c r="A426" s="108"/>
      <c r="B426" s="108"/>
      <c r="C426" s="23" t="s">
        <v>39</v>
      </c>
      <c r="D426" s="34" t="s">
        <v>40</v>
      </c>
      <c r="E426" s="33"/>
      <c r="F426" s="33"/>
      <c r="G426" s="33"/>
      <c r="H426" s="33"/>
      <c r="I426" s="33">
        <f t="shared" si="29"/>
        <v>0</v>
      </c>
      <c r="J426" s="33" t="e">
        <f t="shared" si="33"/>
        <v>#DIV/0!</v>
      </c>
      <c r="K426" s="33" t="e">
        <f t="shared" si="30"/>
        <v>#DIV/0!</v>
      </c>
      <c r="L426" s="33">
        <f t="shared" si="31"/>
        <v>0</v>
      </c>
      <c r="M426" s="33" t="e">
        <f t="shared" si="32"/>
        <v>#DIV/0!</v>
      </c>
    </row>
    <row r="427" spans="1:13" ht="267.75" hidden="1">
      <c r="A427" s="108"/>
      <c r="B427" s="108"/>
      <c r="C427" s="23" t="s">
        <v>41</v>
      </c>
      <c r="D427" s="34" t="s">
        <v>42</v>
      </c>
      <c r="E427" s="33"/>
      <c r="F427" s="33"/>
      <c r="G427" s="33"/>
      <c r="H427" s="33"/>
      <c r="I427" s="33">
        <f t="shared" si="29"/>
        <v>0</v>
      </c>
      <c r="J427" s="33" t="e">
        <f t="shared" si="33"/>
        <v>#DIV/0!</v>
      </c>
      <c r="K427" s="33" t="e">
        <f t="shared" si="30"/>
        <v>#DIV/0!</v>
      </c>
      <c r="L427" s="33">
        <f t="shared" si="31"/>
        <v>0</v>
      </c>
      <c r="M427" s="33" t="e">
        <f t="shared" si="32"/>
        <v>#DIV/0!</v>
      </c>
    </row>
    <row r="428" spans="1:13" ht="267.75" hidden="1">
      <c r="A428" s="108"/>
      <c r="B428" s="108"/>
      <c r="C428" s="23" t="s">
        <v>59</v>
      </c>
      <c r="D428" s="36" t="s">
        <v>60</v>
      </c>
      <c r="E428" s="33"/>
      <c r="F428" s="33"/>
      <c r="G428" s="33"/>
      <c r="H428" s="33"/>
      <c r="I428" s="33">
        <f t="shared" si="29"/>
        <v>0</v>
      </c>
      <c r="J428" s="33" t="e">
        <f t="shared" si="33"/>
        <v>#DIV/0!</v>
      </c>
      <c r="K428" s="33" t="e">
        <f t="shared" si="30"/>
        <v>#DIV/0!</v>
      </c>
      <c r="L428" s="33">
        <f t="shared" si="31"/>
        <v>0</v>
      </c>
      <c r="M428" s="33" t="e">
        <f t="shared" si="32"/>
        <v>#DIV/0!</v>
      </c>
    </row>
    <row r="429" spans="1:14" ht="15.75" hidden="1">
      <c r="A429" s="109"/>
      <c r="B429" s="109"/>
      <c r="C429" s="24"/>
      <c r="D429" s="3" t="s">
        <v>182</v>
      </c>
      <c r="E429" s="8">
        <f>SUM(E421:E424,E426:E428)</f>
        <v>0</v>
      </c>
      <c r="F429" s="8">
        <f>SUM(F421:F424,F426:F428)</f>
        <v>0</v>
      </c>
      <c r="G429" s="8">
        <f>SUM(G421:G424,G426:G428)</f>
        <v>0</v>
      </c>
      <c r="H429" s="8">
        <f>SUM(H421:H424,H426:H428)</f>
        <v>0</v>
      </c>
      <c r="I429" s="8">
        <f t="shared" si="29"/>
        <v>0</v>
      </c>
      <c r="J429" s="8" t="e">
        <f t="shared" si="33"/>
        <v>#DIV/0!</v>
      </c>
      <c r="K429" s="8" t="e">
        <f t="shared" si="30"/>
        <v>#DIV/0!</v>
      </c>
      <c r="L429" s="8">
        <f t="shared" si="31"/>
        <v>0</v>
      </c>
      <c r="M429" s="8" t="e">
        <f t="shared" si="32"/>
        <v>#DIV/0!</v>
      </c>
      <c r="N429" s="5"/>
    </row>
    <row r="430" spans="1:14" ht="15.75" hidden="1">
      <c r="A430" s="114"/>
      <c r="B430" s="114"/>
      <c r="C430" s="116"/>
      <c r="D430" s="3"/>
      <c r="E430" s="8"/>
      <c r="F430" s="8"/>
      <c r="G430" s="8"/>
      <c r="H430" s="8"/>
      <c r="I430" s="8"/>
      <c r="J430" s="8"/>
      <c r="K430" s="8"/>
      <c r="L430" s="8"/>
      <c r="M430" s="8"/>
      <c r="N430" s="5"/>
    </row>
    <row r="431" spans="1:14" ht="15.75" hidden="1">
      <c r="A431" s="114"/>
      <c r="B431" s="114"/>
      <c r="C431" s="116"/>
      <c r="D431" s="3" t="s">
        <v>183</v>
      </c>
      <c r="E431" s="8">
        <f>E446+E461</f>
        <v>8964252.899999999</v>
      </c>
      <c r="F431" s="8">
        <f>F446+F461</f>
        <v>17414833.8</v>
      </c>
      <c r="G431" s="8">
        <f>G446+G461</f>
        <v>9491926.7</v>
      </c>
      <c r="H431" s="8">
        <f>H446+H461</f>
        <v>9380414.799999999</v>
      </c>
      <c r="I431" s="8">
        <f t="shared" si="29"/>
        <v>-111511.90000000037</v>
      </c>
      <c r="J431" s="8">
        <f t="shared" si="33"/>
        <v>98.82519214987195</v>
      </c>
      <c r="K431" s="8">
        <f t="shared" si="30"/>
        <v>53.86450946204263</v>
      </c>
      <c r="L431" s="8">
        <f t="shared" si="31"/>
        <v>416161.9000000004</v>
      </c>
      <c r="M431" s="8">
        <f t="shared" si="32"/>
        <v>104.64246049997095</v>
      </c>
      <c r="N431" s="5"/>
    </row>
    <row r="432" spans="1:14" ht="15.75" hidden="1">
      <c r="A432" s="114"/>
      <c r="B432" s="114"/>
      <c r="C432" s="116"/>
      <c r="D432" s="10"/>
      <c r="E432" s="8"/>
      <c r="F432" s="8"/>
      <c r="G432" s="8"/>
      <c r="H432" s="8"/>
      <c r="I432" s="8"/>
      <c r="J432" s="8"/>
      <c r="K432" s="8"/>
      <c r="L432" s="8"/>
      <c r="M432" s="8"/>
      <c r="N432" s="5"/>
    </row>
    <row r="433" spans="1:14" ht="31.5" hidden="1">
      <c r="A433" s="114"/>
      <c r="B433" s="114"/>
      <c r="C433" s="116"/>
      <c r="D433" s="10" t="s">
        <v>184</v>
      </c>
      <c r="E433" s="8">
        <f>E435-E506</f>
        <v>10922217.5</v>
      </c>
      <c r="F433" s="8">
        <f>F435-F506</f>
        <v>22430229.900000002</v>
      </c>
      <c r="G433" s="8">
        <f>G435-G506</f>
        <v>11833748.800000003</v>
      </c>
      <c r="H433" s="8">
        <f>H435-H506</f>
        <v>11593494.5</v>
      </c>
      <c r="I433" s="8">
        <f t="shared" si="29"/>
        <v>-240254.3000000026</v>
      </c>
      <c r="J433" s="8">
        <f t="shared" si="33"/>
        <v>97.96975325350829</v>
      </c>
      <c r="K433" s="8">
        <f t="shared" si="30"/>
        <v>51.686917841176474</v>
      </c>
      <c r="L433" s="8">
        <f t="shared" si="31"/>
        <v>671277</v>
      </c>
      <c r="M433" s="8">
        <f t="shared" si="32"/>
        <v>106.14597722486299</v>
      </c>
      <c r="N433" s="5"/>
    </row>
    <row r="434" spans="1:14" ht="15.75" hidden="1">
      <c r="A434" s="114"/>
      <c r="B434" s="114"/>
      <c r="C434" s="116"/>
      <c r="D434" s="10"/>
      <c r="E434" s="8"/>
      <c r="F434" s="8"/>
      <c r="G434" s="8"/>
      <c r="H434" s="8"/>
      <c r="I434" s="8"/>
      <c r="J434" s="8"/>
      <c r="K434" s="8"/>
      <c r="L434" s="8"/>
      <c r="M434" s="8"/>
      <c r="N434" s="5"/>
    </row>
    <row r="435" spans="1:13" ht="15.75" hidden="1">
      <c r="A435" s="114"/>
      <c r="B435" s="114"/>
      <c r="C435" s="116"/>
      <c r="D435" s="10" t="s">
        <v>206</v>
      </c>
      <c r="E435" s="11">
        <f>E27+E50+E65+E70+E87+E104+E122+E127+E140+E152+E165+E177+E190+E202+E213+E226+E238+E255+E268+E279+E294+E308+E316+E336+E354+E364+E377+E387+E391+E404+E420+E429</f>
        <v>10786694</v>
      </c>
      <c r="F435" s="11">
        <f>F27+F50+F65+F70+F87+F104+F122+F127+F140+F152+F165+F177+F190+F202+F213+F226+F238+F255+F268+F279+F294+F308+F316+F336+F354+F364+F377+F387+F391+F404+F420+F429</f>
        <v>22430229.900000002</v>
      </c>
      <c r="G435" s="11">
        <f>G27+G50+G65+G70+G87+G104+G122+G127+G140+G152+G165+G177+G190+G202+G213+G226+G238+G255+G268+G279+G294+G308+G316+G336+G354+G364+G377+G387+G391+G404+G420+G429</f>
        <v>11833748.800000003</v>
      </c>
      <c r="H435" s="11">
        <f>H27+H50+H65+H70+H87+H104+H122+H127+H140+H152+H165+H177+H190+H202+H213+H226+H238+H255+H268+H279+H294+H308+H316+H336+H354+H364+H377+H387+H391+H404+H420+H429</f>
        <v>11496264.2</v>
      </c>
      <c r="I435" s="11">
        <f t="shared" si="29"/>
        <v>-337484.60000000335</v>
      </c>
      <c r="J435" s="11">
        <f t="shared" si="33"/>
        <v>97.14811759397831</v>
      </c>
      <c r="K435" s="11">
        <f t="shared" si="30"/>
        <v>51.253439002869946</v>
      </c>
      <c r="L435" s="11">
        <f t="shared" si="31"/>
        <v>709570.1999999993</v>
      </c>
      <c r="M435" s="11">
        <f t="shared" si="32"/>
        <v>106.57819902928551</v>
      </c>
    </row>
    <row r="436" spans="1:14" ht="31.5" hidden="1">
      <c r="A436" s="32"/>
      <c r="B436" s="32"/>
      <c r="C436" s="25"/>
      <c r="D436" s="3" t="s">
        <v>185</v>
      </c>
      <c r="E436" s="11">
        <f>E438</f>
        <v>0</v>
      </c>
      <c r="F436" s="11">
        <f>F438</f>
        <v>0</v>
      </c>
      <c r="G436" s="11">
        <f>G438</f>
        <v>0</v>
      </c>
      <c r="H436" s="11">
        <f>H438</f>
        <v>0</v>
      </c>
      <c r="I436" s="33">
        <f t="shared" si="29"/>
        <v>0</v>
      </c>
      <c r="J436" s="33" t="e">
        <f t="shared" si="33"/>
        <v>#DIV/0!</v>
      </c>
      <c r="K436" s="33" t="e">
        <f t="shared" si="30"/>
        <v>#DIV/0!</v>
      </c>
      <c r="L436" s="33">
        <f t="shared" si="31"/>
        <v>0</v>
      </c>
      <c r="M436" s="33" t="e">
        <f t="shared" si="32"/>
        <v>#DIV/0!</v>
      </c>
      <c r="N436" s="5"/>
    </row>
    <row r="437" spans="1:13" ht="31.5" hidden="1">
      <c r="A437" s="100" t="s">
        <v>8</v>
      </c>
      <c r="B437" s="103" t="s">
        <v>9</v>
      </c>
      <c r="C437" s="22" t="s">
        <v>186</v>
      </c>
      <c r="D437" s="36" t="s">
        <v>187</v>
      </c>
      <c r="E437" s="54"/>
      <c r="F437" s="54"/>
      <c r="G437" s="54"/>
      <c r="H437" s="54"/>
      <c r="I437" s="33">
        <f t="shared" si="29"/>
        <v>0</v>
      </c>
      <c r="J437" s="33" t="e">
        <f t="shared" si="33"/>
        <v>#DIV/0!</v>
      </c>
      <c r="K437" s="33" t="e">
        <f t="shared" si="30"/>
        <v>#DIV/0!</v>
      </c>
      <c r="L437" s="33">
        <f t="shared" si="31"/>
        <v>0</v>
      </c>
      <c r="M437" s="33" t="e">
        <f t="shared" si="32"/>
        <v>#DIV/0!</v>
      </c>
    </row>
    <row r="438" spans="1:14" ht="15.75" hidden="1">
      <c r="A438" s="109"/>
      <c r="B438" s="109"/>
      <c r="C438" s="25"/>
      <c r="D438" s="3" t="s">
        <v>182</v>
      </c>
      <c r="E438" s="11">
        <f>SUM(E437:E437)</f>
        <v>0</v>
      </c>
      <c r="F438" s="11">
        <f>SUM(F437:F437)</f>
        <v>0</v>
      </c>
      <c r="G438" s="11">
        <f>SUM(G437:G437)</f>
        <v>0</v>
      </c>
      <c r="H438" s="11">
        <f>SUM(H437:H437)</f>
        <v>0</v>
      </c>
      <c r="I438" s="33">
        <f t="shared" si="29"/>
        <v>0</v>
      </c>
      <c r="J438" s="33" t="e">
        <f t="shared" si="33"/>
        <v>#DIV/0!</v>
      </c>
      <c r="K438" s="33" t="e">
        <f t="shared" si="30"/>
        <v>#DIV/0!</v>
      </c>
      <c r="L438" s="33">
        <f t="shared" si="31"/>
        <v>0</v>
      </c>
      <c r="M438" s="33" t="e">
        <f t="shared" si="32"/>
        <v>#DIV/0!</v>
      </c>
      <c r="N438" s="5"/>
    </row>
    <row r="439" spans="1:11" ht="15.75" hidden="1">
      <c r="A439" s="12"/>
      <c r="B439" s="12"/>
      <c r="C439" s="29"/>
      <c r="D439" s="2"/>
      <c r="E439" s="57"/>
      <c r="F439" s="57"/>
      <c r="G439" s="57"/>
      <c r="H439" s="57"/>
      <c r="I439" s="58"/>
      <c r="J439" s="58"/>
      <c r="K439" s="58"/>
    </row>
    <row r="440" spans="1:11" ht="16.5" customHeight="1">
      <c r="A440" s="12"/>
      <c r="B440" s="12"/>
      <c r="C440" s="29"/>
      <c r="D440" s="2" t="s">
        <v>188</v>
      </c>
      <c r="E440" s="117"/>
      <c r="F440" s="118"/>
      <c r="G440" s="118"/>
      <c r="H440" s="118"/>
      <c r="I440" s="120"/>
      <c r="J440" s="122"/>
      <c r="K440" s="122"/>
    </row>
    <row r="441" spans="1:11" ht="15.75" hidden="1">
      <c r="A441" s="12"/>
      <c r="B441" s="12"/>
      <c r="C441" s="29"/>
      <c r="D441" s="2"/>
      <c r="E441" s="117"/>
      <c r="F441" s="119"/>
      <c r="G441" s="119"/>
      <c r="H441" s="119"/>
      <c r="I441" s="121"/>
      <c r="J441" s="121"/>
      <c r="K441" s="121"/>
    </row>
    <row r="442" spans="1:11" ht="15.75" hidden="1">
      <c r="A442" s="123" t="s">
        <v>218</v>
      </c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3" ht="16.5" customHeight="1">
      <c r="B443" s="1"/>
      <c r="C443" s="1"/>
      <c r="D443" s="1"/>
      <c r="E443" s="13"/>
      <c r="F443" s="13"/>
      <c r="G443" s="13"/>
      <c r="H443" s="13"/>
      <c r="K443" s="41"/>
      <c r="M443" s="86" t="s">
        <v>227</v>
      </c>
    </row>
    <row r="444" spans="1:13" ht="62.25" customHeight="1">
      <c r="A444" s="90" t="s">
        <v>1</v>
      </c>
      <c r="B444" s="91" t="s">
        <v>2</v>
      </c>
      <c r="C444" s="90" t="s">
        <v>3</v>
      </c>
      <c r="D444" s="91" t="s">
        <v>4</v>
      </c>
      <c r="E444" s="92" t="s">
        <v>215</v>
      </c>
      <c r="F444" s="94" t="s">
        <v>208</v>
      </c>
      <c r="G444" s="94" t="s">
        <v>216</v>
      </c>
      <c r="H444" s="94" t="s">
        <v>217</v>
      </c>
      <c r="I444" s="96" t="s">
        <v>222</v>
      </c>
      <c r="J444" s="91" t="s">
        <v>223</v>
      </c>
      <c r="K444" s="98" t="s">
        <v>5</v>
      </c>
      <c r="L444" s="96" t="s">
        <v>6</v>
      </c>
      <c r="M444" s="91" t="s">
        <v>7</v>
      </c>
    </row>
    <row r="445" spans="1:13" ht="38.25" customHeight="1">
      <c r="A445" s="90"/>
      <c r="B445" s="91"/>
      <c r="C445" s="90"/>
      <c r="D445" s="91"/>
      <c r="E445" s="93"/>
      <c r="F445" s="95"/>
      <c r="G445" s="95"/>
      <c r="H445" s="95"/>
      <c r="I445" s="97"/>
      <c r="J445" s="97"/>
      <c r="K445" s="99"/>
      <c r="L445" s="97"/>
      <c r="M445" s="97"/>
    </row>
    <row r="446" spans="1:14" ht="21" customHeight="1">
      <c r="A446" s="111"/>
      <c r="B446" s="111"/>
      <c r="C446" s="24"/>
      <c r="D446" s="74" t="s">
        <v>189</v>
      </c>
      <c r="E446" s="75">
        <f>SUM(E460,E447:E454)</f>
        <v>7868411.699999999</v>
      </c>
      <c r="F446" s="75">
        <f>SUM(F460,F447:F454)</f>
        <v>14770674.8</v>
      </c>
      <c r="G446" s="75">
        <f>SUM(G460,G447:G454)</f>
        <v>8181295.2</v>
      </c>
      <c r="H446" s="75">
        <f>SUM(H460,H447:H454)</f>
        <v>8130848.3</v>
      </c>
      <c r="I446" s="76">
        <f>H446-G446</f>
        <v>-50446.90000000037</v>
      </c>
      <c r="J446" s="76">
        <f>H446/G446*100</f>
        <v>99.38338736389808</v>
      </c>
      <c r="K446" s="76">
        <f>H446/F446*100</f>
        <v>55.047236569042866</v>
      </c>
      <c r="L446" s="76">
        <f>H446-E446</f>
        <v>262436.60000000056</v>
      </c>
      <c r="M446" s="76">
        <f>H446/E446*100</f>
        <v>103.33531861328507</v>
      </c>
      <c r="N446" s="5"/>
    </row>
    <row r="447" spans="1:13" ht="17.25" customHeight="1">
      <c r="A447" s="111"/>
      <c r="B447" s="111"/>
      <c r="C447" s="23" t="s">
        <v>132</v>
      </c>
      <c r="D447" s="34" t="s">
        <v>133</v>
      </c>
      <c r="E447" s="52">
        <f aca="true" t="shared" si="34" ref="E447:H453">SUMIF($C$6:$C$437,$C447,E$6:E$437)</f>
        <v>3441988.8</v>
      </c>
      <c r="F447" s="52">
        <f t="shared" si="34"/>
        <v>6832068.800000001</v>
      </c>
      <c r="G447" s="52">
        <f t="shared" si="34"/>
        <v>3740840.6</v>
      </c>
      <c r="H447" s="52">
        <f t="shared" si="34"/>
        <v>3949362.1999999997</v>
      </c>
      <c r="I447" s="33">
        <f>H447-G447</f>
        <v>208521.59999999963</v>
      </c>
      <c r="J447" s="33">
        <f>H447/G447*100</f>
        <v>105.57419099867553</v>
      </c>
      <c r="K447" s="33">
        <f>H447/F447*100</f>
        <v>57.80624164674687</v>
      </c>
      <c r="L447" s="33">
        <f>H447-E447</f>
        <v>507373.3999999999</v>
      </c>
      <c r="M447" s="33">
        <f>H447/E447*100</f>
        <v>114.74070456010782</v>
      </c>
    </row>
    <row r="448" spans="1:13" ht="17.25" customHeight="1">
      <c r="A448" s="111"/>
      <c r="B448" s="111"/>
      <c r="C448" s="23" t="s">
        <v>210</v>
      </c>
      <c r="D448" s="34" t="s">
        <v>209</v>
      </c>
      <c r="E448" s="52">
        <f t="shared" si="34"/>
        <v>306891.6</v>
      </c>
      <c r="F448" s="52">
        <f t="shared" si="34"/>
        <v>483544</v>
      </c>
      <c r="G448" s="52">
        <f t="shared" si="34"/>
        <v>339204.1</v>
      </c>
      <c r="H448" s="52">
        <f t="shared" si="34"/>
        <v>334795.4</v>
      </c>
      <c r="I448" s="33">
        <f>H448-G448</f>
        <v>-4408.699999999953</v>
      </c>
      <c r="J448" s="33">
        <f>H448/G448*100</f>
        <v>98.70028104023508</v>
      </c>
      <c r="K448" s="33">
        <f>H448/F448*100</f>
        <v>69.23783564680774</v>
      </c>
      <c r="L448" s="33">
        <f>H448-E448</f>
        <v>27903.800000000047</v>
      </c>
      <c r="M448" s="33">
        <f>H448/E448*100</f>
        <v>109.09239614248159</v>
      </c>
    </row>
    <row r="449" spans="1:13" ht="17.25" customHeight="1">
      <c r="A449" s="111"/>
      <c r="B449" s="111"/>
      <c r="C449" s="23" t="s">
        <v>211</v>
      </c>
      <c r="D449" s="34" t="s">
        <v>155</v>
      </c>
      <c r="E449" s="52">
        <f t="shared" si="34"/>
        <v>540.9</v>
      </c>
      <c r="F449" s="52">
        <f t="shared" si="34"/>
        <v>652.7</v>
      </c>
      <c r="G449" s="52">
        <f t="shared" si="34"/>
        <v>598.8</v>
      </c>
      <c r="H449" s="52">
        <f t="shared" si="34"/>
        <v>772</v>
      </c>
      <c r="I449" s="33">
        <f aca="true" t="shared" si="35" ref="I449:I460">H449-G449</f>
        <v>173.20000000000005</v>
      </c>
      <c r="J449" s="33">
        <f aca="true" t="shared" si="36" ref="J449:J454">H449/G449*100</f>
        <v>128.9245156980628</v>
      </c>
      <c r="K449" s="33">
        <f aca="true" t="shared" si="37" ref="K449:K454">H449/F449*100</f>
        <v>118.27792247586946</v>
      </c>
      <c r="L449" s="33">
        <f aca="true" t="shared" si="38" ref="L449:L460">H449-E449</f>
        <v>231.10000000000002</v>
      </c>
      <c r="M449" s="33">
        <f aca="true" t="shared" si="39" ref="M449:M460">H449/E449*100</f>
        <v>142.72508781660196</v>
      </c>
    </row>
    <row r="450" spans="1:13" ht="17.25" customHeight="1">
      <c r="A450" s="111"/>
      <c r="B450" s="111"/>
      <c r="C450" s="23" t="s">
        <v>171</v>
      </c>
      <c r="D450" s="34" t="s">
        <v>172</v>
      </c>
      <c r="E450" s="52">
        <f t="shared" si="34"/>
        <v>56133.5</v>
      </c>
      <c r="F450" s="52">
        <f t="shared" si="34"/>
        <v>53346</v>
      </c>
      <c r="G450" s="52">
        <f t="shared" si="34"/>
        <v>33719.1</v>
      </c>
      <c r="H450" s="52">
        <f t="shared" si="34"/>
        <v>41876.3</v>
      </c>
      <c r="I450" s="33">
        <f t="shared" si="35"/>
        <v>8157.200000000004</v>
      </c>
      <c r="J450" s="33">
        <f t="shared" si="36"/>
        <v>124.1916302629667</v>
      </c>
      <c r="K450" s="33">
        <f t="shared" si="37"/>
        <v>78.4994188880141</v>
      </c>
      <c r="L450" s="33">
        <f t="shared" si="38"/>
        <v>-14257.199999999997</v>
      </c>
      <c r="M450" s="33">
        <f t="shared" si="39"/>
        <v>74.60126306038283</v>
      </c>
    </row>
    <row r="451" spans="1:13" ht="17.25" customHeight="1">
      <c r="A451" s="111"/>
      <c r="B451" s="111"/>
      <c r="C451" s="23" t="s">
        <v>45</v>
      </c>
      <c r="D451" s="50" t="s">
        <v>46</v>
      </c>
      <c r="E451" s="52">
        <f t="shared" si="34"/>
        <v>1524036.9</v>
      </c>
      <c r="F451" s="52">
        <f t="shared" si="34"/>
        <v>2752050.4</v>
      </c>
      <c r="G451" s="52">
        <f t="shared" si="34"/>
        <v>1676824.3</v>
      </c>
      <c r="H451" s="52">
        <f t="shared" si="34"/>
        <v>1468214.8</v>
      </c>
      <c r="I451" s="33">
        <f t="shared" si="35"/>
        <v>-208609.5</v>
      </c>
      <c r="J451" s="33">
        <f t="shared" si="36"/>
        <v>87.55925113919211</v>
      </c>
      <c r="K451" s="33">
        <f t="shared" si="37"/>
        <v>53.349851441674176</v>
      </c>
      <c r="L451" s="33">
        <f t="shared" si="38"/>
        <v>-55822.09999999986</v>
      </c>
      <c r="M451" s="33">
        <f t="shared" si="39"/>
        <v>96.33722123132321</v>
      </c>
    </row>
    <row r="452" spans="1:13" ht="17.25" customHeight="1">
      <c r="A452" s="111"/>
      <c r="B452" s="111"/>
      <c r="C452" s="23" t="s">
        <v>124</v>
      </c>
      <c r="D452" s="50" t="s">
        <v>125</v>
      </c>
      <c r="E452" s="52">
        <f t="shared" si="34"/>
        <v>402124.2</v>
      </c>
      <c r="F452" s="52">
        <f t="shared" si="34"/>
        <v>902073.3999999999</v>
      </c>
      <c r="G452" s="52">
        <f t="shared" si="34"/>
        <v>181824.7</v>
      </c>
      <c r="H452" s="52">
        <f t="shared" si="34"/>
        <v>150697.90000000002</v>
      </c>
      <c r="I452" s="33">
        <f t="shared" si="35"/>
        <v>-31126.79999999999</v>
      </c>
      <c r="J452" s="33">
        <f t="shared" si="36"/>
        <v>82.88087372067712</v>
      </c>
      <c r="K452" s="33">
        <f t="shared" si="37"/>
        <v>16.70572483347808</v>
      </c>
      <c r="L452" s="33">
        <f t="shared" si="38"/>
        <v>-251426.3</v>
      </c>
      <c r="M452" s="33">
        <f t="shared" si="39"/>
        <v>37.4754615613783</v>
      </c>
    </row>
    <row r="453" spans="1:13" ht="17.25" customHeight="1">
      <c r="A453" s="111"/>
      <c r="B453" s="111"/>
      <c r="C453" s="23" t="s">
        <v>173</v>
      </c>
      <c r="D453" s="34" t="s">
        <v>174</v>
      </c>
      <c r="E453" s="52">
        <f t="shared" si="34"/>
        <v>1923891.7</v>
      </c>
      <c r="F453" s="52">
        <f t="shared" si="34"/>
        <v>3404485</v>
      </c>
      <c r="G453" s="52">
        <f t="shared" si="34"/>
        <v>2022865.8</v>
      </c>
      <c r="H453" s="52">
        <f t="shared" si="34"/>
        <v>1991835.4</v>
      </c>
      <c r="I453" s="33">
        <f t="shared" si="35"/>
        <v>-31030.40000000014</v>
      </c>
      <c r="J453" s="33">
        <f t="shared" si="36"/>
        <v>98.46601786435856</v>
      </c>
      <c r="K453" s="33">
        <f t="shared" si="37"/>
        <v>58.50621753363578</v>
      </c>
      <c r="L453" s="33">
        <f t="shared" si="38"/>
        <v>67943.69999999995</v>
      </c>
      <c r="M453" s="33">
        <f t="shared" si="39"/>
        <v>103.53157612769992</v>
      </c>
    </row>
    <row r="454" spans="1:13" ht="17.25" customHeight="1">
      <c r="A454" s="111"/>
      <c r="B454" s="111"/>
      <c r="C454" s="28" t="s">
        <v>190</v>
      </c>
      <c r="D454" s="34" t="s">
        <v>191</v>
      </c>
      <c r="E454" s="52">
        <f>SUM(E455:E459)</f>
        <v>189297.6</v>
      </c>
      <c r="F454" s="52">
        <f>SUM(F455:F459)</f>
        <v>342454.5</v>
      </c>
      <c r="G454" s="52">
        <f>SUM(G455:G459)</f>
        <v>185417.8</v>
      </c>
      <c r="H454" s="52">
        <f>SUM(H455:H459)</f>
        <v>192839.80000000002</v>
      </c>
      <c r="I454" s="33">
        <f t="shared" si="35"/>
        <v>7422.000000000029</v>
      </c>
      <c r="J454" s="33">
        <f t="shared" si="36"/>
        <v>104.00285193762413</v>
      </c>
      <c r="K454" s="33">
        <f t="shared" si="37"/>
        <v>56.31107198182532</v>
      </c>
      <c r="L454" s="33">
        <f t="shared" si="38"/>
        <v>3542.2000000000116</v>
      </c>
      <c r="M454" s="33">
        <f t="shared" si="39"/>
        <v>101.87123344405846</v>
      </c>
    </row>
    <row r="455" spans="1:14" s="71" customFormat="1" ht="267.75" hidden="1">
      <c r="A455" s="111"/>
      <c r="B455" s="111"/>
      <c r="C455" s="66" t="s">
        <v>212</v>
      </c>
      <c r="D455" s="67" t="s">
        <v>213</v>
      </c>
      <c r="E455" s="68">
        <f aca="true" t="shared" si="40" ref="E455:H460">SUMIF($C$6:$C$437,$C455,E$6:E$437)</f>
        <v>0</v>
      </c>
      <c r="F455" s="68">
        <f t="shared" si="40"/>
        <v>0</v>
      </c>
      <c r="G455" s="68">
        <f t="shared" si="40"/>
        <v>0</v>
      </c>
      <c r="H455" s="68">
        <f t="shared" si="40"/>
        <v>2.8</v>
      </c>
      <c r="I455" s="69">
        <f t="shared" si="35"/>
        <v>2.8</v>
      </c>
      <c r="J455" s="69" t="e">
        <f>H455/G455*100</f>
        <v>#DIV/0!</v>
      </c>
      <c r="K455" s="69" t="e">
        <f>H455/F455*100</f>
        <v>#DIV/0!</v>
      </c>
      <c r="L455" s="69">
        <f t="shared" si="38"/>
        <v>2.8</v>
      </c>
      <c r="M455" s="69" t="e">
        <f t="shared" si="39"/>
        <v>#DIV/0!</v>
      </c>
      <c r="N455" s="70"/>
    </row>
    <row r="456" spans="1:14" s="71" customFormat="1" ht="19.5" customHeight="1" hidden="1">
      <c r="A456" s="111"/>
      <c r="B456" s="111"/>
      <c r="C456" s="66" t="s">
        <v>141</v>
      </c>
      <c r="D456" s="72" t="s">
        <v>142</v>
      </c>
      <c r="E456" s="68">
        <f t="shared" si="40"/>
        <v>88508.8</v>
      </c>
      <c r="F456" s="68">
        <f t="shared" si="40"/>
        <v>153134.7</v>
      </c>
      <c r="G456" s="68">
        <f t="shared" si="40"/>
        <v>78443.3</v>
      </c>
      <c r="H456" s="68">
        <f t="shared" si="40"/>
        <v>68384.5</v>
      </c>
      <c r="I456" s="69">
        <f t="shared" si="35"/>
        <v>-10058.800000000003</v>
      </c>
      <c r="J456" s="69">
        <f>H456/G456*100</f>
        <v>87.17698006075726</v>
      </c>
      <c r="K456" s="69">
        <f>H456/F456*100</f>
        <v>44.656436457576234</v>
      </c>
      <c r="L456" s="69">
        <f t="shared" si="38"/>
        <v>-20124.300000000003</v>
      </c>
      <c r="M456" s="69">
        <f t="shared" si="39"/>
        <v>77.26293882642177</v>
      </c>
      <c r="N456" s="70"/>
    </row>
    <row r="457" spans="1:14" s="71" customFormat="1" ht="346.5" hidden="1">
      <c r="A457" s="111"/>
      <c r="B457" s="111"/>
      <c r="C457" s="73" t="s">
        <v>61</v>
      </c>
      <c r="D457" s="67" t="s">
        <v>62</v>
      </c>
      <c r="E457" s="68">
        <f t="shared" si="40"/>
        <v>571</v>
      </c>
      <c r="F457" s="68">
        <f t="shared" si="40"/>
        <v>693</v>
      </c>
      <c r="G457" s="68">
        <f t="shared" si="40"/>
        <v>386.9</v>
      </c>
      <c r="H457" s="68">
        <f t="shared" si="40"/>
        <v>584.5</v>
      </c>
      <c r="I457" s="69">
        <f t="shared" si="35"/>
        <v>197.60000000000002</v>
      </c>
      <c r="J457" s="69">
        <f>H457/G457*100</f>
        <v>151.072628586198</v>
      </c>
      <c r="K457" s="69">
        <f>H457/F457*100</f>
        <v>84.34343434343434</v>
      </c>
      <c r="L457" s="69">
        <f t="shared" si="38"/>
        <v>13.5</v>
      </c>
      <c r="M457" s="69">
        <f t="shared" si="39"/>
        <v>102.36427320490368</v>
      </c>
      <c r="N457" s="70"/>
    </row>
    <row r="458" spans="1:14" s="71" customFormat="1" ht="267.75" hidden="1">
      <c r="A458" s="111"/>
      <c r="B458" s="111"/>
      <c r="C458" s="66" t="s">
        <v>126</v>
      </c>
      <c r="D458" s="72" t="s">
        <v>127</v>
      </c>
      <c r="E458" s="68">
        <f t="shared" si="40"/>
        <v>99878.8</v>
      </c>
      <c r="F458" s="68">
        <f t="shared" si="40"/>
        <v>187783.8</v>
      </c>
      <c r="G458" s="68">
        <f t="shared" si="40"/>
        <v>106119.6</v>
      </c>
      <c r="H458" s="68">
        <f t="shared" si="40"/>
        <v>123705.9</v>
      </c>
      <c r="I458" s="69">
        <f t="shared" si="35"/>
        <v>17586.29999999999</v>
      </c>
      <c r="J458" s="69">
        <f>H458/G458*100</f>
        <v>116.57215066773713</v>
      </c>
      <c r="K458" s="69">
        <f>H458/F458*100</f>
        <v>65.87676892255881</v>
      </c>
      <c r="L458" s="69">
        <f t="shared" si="38"/>
        <v>23827.09999999999</v>
      </c>
      <c r="M458" s="69">
        <f t="shared" si="39"/>
        <v>123.85601348834787</v>
      </c>
      <c r="N458" s="70"/>
    </row>
    <row r="459" spans="1:14" s="71" customFormat="1" ht="267.75" hidden="1">
      <c r="A459" s="111"/>
      <c r="B459" s="111"/>
      <c r="C459" s="66" t="s">
        <v>151</v>
      </c>
      <c r="D459" s="72" t="s">
        <v>152</v>
      </c>
      <c r="E459" s="68">
        <f t="shared" si="40"/>
        <v>339</v>
      </c>
      <c r="F459" s="68">
        <f t="shared" si="40"/>
        <v>843</v>
      </c>
      <c r="G459" s="68">
        <f t="shared" si="40"/>
        <v>468</v>
      </c>
      <c r="H459" s="68">
        <f t="shared" si="40"/>
        <v>162.1</v>
      </c>
      <c r="I459" s="69">
        <f t="shared" si="35"/>
        <v>-305.9</v>
      </c>
      <c r="J459" s="69">
        <f>H459/G459*100</f>
        <v>34.636752136752136</v>
      </c>
      <c r="K459" s="69">
        <f>H459/F459*100</f>
        <v>19.22894424673784</v>
      </c>
      <c r="L459" s="69">
        <f t="shared" si="38"/>
        <v>-176.9</v>
      </c>
      <c r="M459" s="69">
        <f t="shared" si="39"/>
        <v>47.81710914454277</v>
      </c>
      <c r="N459" s="70"/>
    </row>
    <row r="460" spans="1:13" ht="18" customHeight="1">
      <c r="A460" s="111"/>
      <c r="B460" s="111"/>
      <c r="C460" s="23" t="s">
        <v>63</v>
      </c>
      <c r="D460" s="34" t="s">
        <v>64</v>
      </c>
      <c r="E460" s="52">
        <f t="shared" si="40"/>
        <v>23506.5</v>
      </c>
      <c r="F460" s="52">
        <f t="shared" si="40"/>
        <v>0</v>
      </c>
      <c r="G460" s="52">
        <f t="shared" si="40"/>
        <v>0</v>
      </c>
      <c r="H460" s="52">
        <f t="shared" si="40"/>
        <v>454.5</v>
      </c>
      <c r="I460" s="33">
        <f t="shared" si="35"/>
        <v>454.5</v>
      </c>
      <c r="J460" s="33"/>
      <c r="K460" s="33"/>
      <c r="L460" s="33">
        <f t="shared" si="38"/>
        <v>-23052</v>
      </c>
      <c r="M460" s="33">
        <f t="shared" si="39"/>
        <v>1.9335077531746538</v>
      </c>
    </row>
    <row r="461" spans="1:14" ht="21" customHeight="1">
      <c r="A461" s="111"/>
      <c r="B461" s="111"/>
      <c r="C461" s="24"/>
      <c r="D461" s="74" t="s">
        <v>192</v>
      </c>
      <c r="E461" s="75">
        <f>SUM(E462:E474,E495:E496)</f>
        <v>1095841.2000000002</v>
      </c>
      <c r="F461" s="75">
        <f>SUM(F462:F474,F495:F496)</f>
        <v>2644158.999999999</v>
      </c>
      <c r="G461" s="75">
        <f>SUM(G462:G474,G495:G496)</f>
        <v>1310631.5</v>
      </c>
      <c r="H461" s="75">
        <f>SUM(H462:H474,H495:H496)</f>
        <v>1249566.4999999998</v>
      </c>
      <c r="I461" s="76">
        <f>H461-G461</f>
        <v>-61065.00000000023</v>
      </c>
      <c r="J461" s="76">
        <f>H461/G461*100</f>
        <v>95.340795639354</v>
      </c>
      <c r="K461" s="76">
        <f aca="true" t="shared" si="41" ref="K461:K470">H461/F461*100</f>
        <v>47.25761574852345</v>
      </c>
      <c r="L461" s="76">
        <f>H461-E461</f>
        <v>153725.29999999958</v>
      </c>
      <c r="M461" s="76">
        <f>H461/E461*100</f>
        <v>114.02806355519391</v>
      </c>
      <c r="N461" s="5"/>
    </row>
    <row r="462" spans="1:13" ht="16.5" customHeight="1">
      <c r="A462" s="111"/>
      <c r="B462" s="111"/>
      <c r="C462" s="23" t="s">
        <v>10</v>
      </c>
      <c r="D462" s="34" t="s">
        <v>11</v>
      </c>
      <c r="E462" s="52">
        <f aca="true" t="shared" si="42" ref="E462:H481">SUMIF($C$6:$C$437,$C462,E$6:E$437)</f>
        <v>576.7</v>
      </c>
      <c r="F462" s="52">
        <f t="shared" si="42"/>
        <v>433.9</v>
      </c>
      <c r="G462" s="52">
        <f t="shared" si="42"/>
        <v>433.9</v>
      </c>
      <c r="H462" s="52">
        <f t="shared" si="42"/>
        <v>842.7</v>
      </c>
      <c r="I462" s="33">
        <f>H462-G462</f>
        <v>408.80000000000007</v>
      </c>
      <c r="J462" s="33"/>
      <c r="K462" s="33">
        <f t="shared" si="41"/>
        <v>194.21525697165248</v>
      </c>
      <c r="L462" s="33">
        <f>H462-E462</f>
        <v>266</v>
      </c>
      <c r="M462" s="33"/>
    </row>
    <row r="463" spans="1:13" ht="78.75">
      <c r="A463" s="111"/>
      <c r="B463" s="111"/>
      <c r="C463" s="22" t="s">
        <v>12</v>
      </c>
      <c r="D463" s="45" t="s">
        <v>193</v>
      </c>
      <c r="E463" s="52">
        <f t="shared" si="42"/>
        <v>228804.40000000002</v>
      </c>
      <c r="F463" s="52">
        <f t="shared" si="42"/>
        <v>405179.2</v>
      </c>
      <c r="G463" s="52">
        <f t="shared" si="42"/>
        <v>186068.9</v>
      </c>
      <c r="H463" s="52">
        <f t="shared" si="42"/>
        <v>278650.7</v>
      </c>
      <c r="I463" s="33">
        <f>H463-G463</f>
        <v>92581.80000000002</v>
      </c>
      <c r="J463" s="33">
        <f aca="true" t="shared" si="43" ref="J463:J469">H463/G463*100</f>
        <v>149.7567298995157</v>
      </c>
      <c r="K463" s="33">
        <f t="shared" si="41"/>
        <v>68.77221239392348</v>
      </c>
      <c r="L463" s="33">
        <f>H463-E463</f>
        <v>49846.29999999999</v>
      </c>
      <c r="M463" s="33">
        <f>H463/E463*100</f>
        <v>121.78555132681015</v>
      </c>
    </row>
    <row r="464" spans="1:13" ht="32.25" customHeight="1">
      <c r="A464" s="111"/>
      <c r="B464" s="111"/>
      <c r="C464" s="23" t="s">
        <v>169</v>
      </c>
      <c r="D464" s="34" t="s">
        <v>170</v>
      </c>
      <c r="E464" s="52">
        <f t="shared" si="42"/>
        <v>17198</v>
      </c>
      <c r="F464" s="52">
        <f t="shared" si="42"/>
        <v>37924.1</v>
      </c>
      <c r="G464" s="52">
        <f t="shared" si="42"/>
        <v>12900</v>
      </c>
      <c r="H464" s="52">
        <f t="shared" si="42"/>
        <v>15668.6</v>
      </c>
      <c r="I464" s="33">
        <f aca="true" t="shared" si="44" ref="I464:I510">H464-G464</f>
        <v>2768.6000000000004</v>
      </c>
      <c r="J464" s="33">
        <f t="shared" si="43"/>
        <v>121.46201550387596</v>
      </c>
      <c r="K464" s="33">
        <f t="shared" si="41"/>
        <v>41.31568053032241</v>
      </c>
      <c r="L464" s="33">
        <f aca="true" t="shared" si="45" ref="L464:L510">H464-E464</f>
        <v>-1529.3999999999996</v>
      </c>
      <c r="M464" s="33">
        <f aca="true" t="shared" si="46" ref="M464:M510">H464/E464*100</f>
        <v>91.10710547738108</v>
      </c>
    </row>
    <row r="465" spans="1:13" ht="16.5" customHeight="1">
      <c r="A465" s="111"/>
      <c r="B465" s="111"/>
      <c r="C465" s="23" t="s">
        <v>14</v>
      </c>
      <c r="D465" s="46" t="s">
        <v>153</v>
      </c>
      <c r="E465" s="52">
        <f t="shared" si="42"/>
        <v>227096.8</v>
      </c>
      <c r="F465" s="52">
        <f t="shared" si="42"/>
        <v>420216.8</v>
      </c>
      <c r="G465" s="52">
        <f t="shared" si="42"/>
        <v>230108.8</v>
      </c>
      <c r="H465" s="52">
        <f t="shared" si="42"/>
        <v>187197.9</v>
      </c>
      <c r="I465" s="33">
        <f t="shared" si="44"/>
        <v>-42910.899999999994</v>
      </c>
      <c r="J465" s="33">
        <f t="shared" si="43"/>
        <v>81.3519083146755</v>
      </c>
      <c r="K465" s="33">
        <f t="shared" si="41"/>
        <v>44.54793335249804</v>
      </c>
      <c r="L465" s="33">
        <f t="shared" si="45"/>
        <v>-39898.899999999994</v>
      </c>
      <c r="M465" s="33">
        <f t="shared" si="46"/>
        <v>82.43088409876317</v>
      </c>
    </row>
    <row r="466" spans="1:13" ht="32.25" customHeight="1">
      <c r="A466" s="111"/>
      <c r="B466" s="111"/>
      <c r="C466" s="23" t="s">
        <v>16</v>
      </c>
      <c r="D466" s="34" t="s">
        <v>17</v>
      </c>
      <c r="E466" s="52">
        <f t="shared" si="42"/>
        <v>3453.5</v>
      </c>
      <c r="F466" s="52">
        <f t="shared" si="42"/>
        <v>3687</v>
      </c>
      <c r="G466" s="52">
        <f t="shared" si="42"/>
        <v>3687</v>
      </c>
      <c r="H466" s="52">
        <f t="shared" si="42"/>
        <v>3362.2</v>
      </c>
      <c r="I466" s="33">
        <f t="shared" si="44"/>
        <v>-324.8000000000002</v>
      </c>
      <c r="J466" s="33">
        <f t="shared" si="43"/>
        <v>91.19066992134526</v>
      </c>
      <c r="K466" s="33">
        <f t="shared" si="41"/>
        <v>91.19066992134526</v>
      </c>
      <c r="L466" s="33">
        <f t="shared" si="45"/>
        <v>-91.30000000000018</v>
      </c>
      <c r="M466" s="33">
        <f t="shared" si="46"/>
        <v>97.35630519762559</v>
      </c>
    </row>
    <row r="467" spans="1:13" ht="78.75">
      <c r="A467" s="111"/>
      <c r="B467" s="111"/>
      <c r="C467" s="22" t="s">
        <v>18</v>
      </c>
      <c r="D467" s="36" t="s">
        <v>194</v>
      </c>
      <c r="E467" s="52">
        <f t="shared" si="42"/>
        <v>58733.7</v>
      </c>
      <c r="F467" s="52">
        <f t="shared" si="42"/>
        <v>123395.20000000001</v>
      </c>
      <c r="G467" s="52">
        <f t="shared" si="42"/>
        <v>72212</v>
      </c>
      <c r="H467" s="52">
        <f t="shared" si="42"/>
        <v>72089.7</v>
      </c>
      <c r="I467" s="33">
        <f t="shared" si="44"/>
        <v>-122.30000000000291</v>
      </c>
      <c r="J467" s="33">
        <f t="shared" si="43"/>
        <v>99.83063756716335</v>
      </c>
      <c r="K467" s="33">
        <f t="shared" si="41"/>
        <v>58.42180246881563</v>
      </c>
      <c r="L467" s="33">
        <f t="shared" si="45"/>
        <v>13356</v>
      </c>
      <c r="M467" s="33">
        <f t="shared" si="46"/>
        <v>122.73992614121025</v>
      </c>
    </row>
    <row r="468" spans="1:13" ht="16.5" customHeight="1">
      <c r="A468" s="111"/>
      <c r="B468" s="111"/>
      <c r="C468" s="23" t="s">
        <v>75</v>
      </c>
      <c r="D468" s="34" t="s">
        <v>76</v>
      </c>
      <c r="E468" s="52">
        <f t="shared" si="42"/>
        <v>7900.8</v>
      </c>
      <c r="F468" s="52">
        <f t="shared" si="42"/>
        <v>11611.7</v>
      </c>
      <c r="G468" s="52">
        <f t="shared" si="42"/>
        <v>8128.1</v>
      </c>
      <c r="H468" s="52">
        <f t="shared" si="42"/>
        <v>9688.8</v>
      </c>
      <c r="I468" s="33">
        <f t="shared" si="44"/>
        <v>1560.699999999999</v>
      </c>
      <c r="J468" s="33">
        <f t="shared" si="43"/>
        <v>119.20128935421562</v>
      </c>
      <c r="K468" s="33">
        <f t="shared" si="41"/>
        <v>83.43997864223152</v>
      </c>
      <c r="L468" s="33">
        <f t="shared" si="45"/>
        <v>1787.999999999999</v>
      </c>
      <c r="M468" s="33">
        <f t="shared" si="46"/>
        <v>122.63061968408262</v>
      </c>
    </row>
    <row r="469" spans="1:13" ht="32.25" customHeight="1">
      <c r="A469" s="111"/>
      <c r="B469" s="111"/>
      <c r="C469" s="23" t="s">
        <v>20</v>
      </c>
      <c r="D469" s="47" t="s">
        <v>21</v>
      </c>
      <c r="E469" s="52">
        <f t="shared" si="42"/>
        <v>63576.399999999994</v>
      </c>
      <c r="F469" s="52">
        <f t="shared" si="42"/>
        <v>7896</v>
      </c>
      <c r="G469" s="52">
        <f t="shared" si="42"/>
        <v>2111</v>
      </c>
      <c r="H469" s="52">
        <f t="shared" si="42"/>
        <v>99973.49999999999</v>
      </c>
      <c r="I469" s="33">
        <f t="shared" si="44"/>
        <v>97862.49999999999</v>
      </c>
      <c r="J469" s="33">
        <f t="shared" si="43"/>
        <v>4735.8360966366645</v>
      </c>
      <c r="K469" s="33">
        <f t="shared" si="41"/>
        <v>1266.1284194528873</v>
      </c>
      <c r="L469" s="33">
        <f t="shared" si="45"/>
        <v>36397.09999999999</v>
      </c>
      <c r="M469" s="33">
        <f t="shared" si="46"/>
        <v>157.24938813773664</v>
      </c>
    </row>
    <row r="470" spans="1:13" ht="17.25" customHeight="1">
      <c r="A470" s="111"/>
      <c r="B470" s="111"/>
      <c r="C470" s="23" t="s">
        <v>101</v>
      </c>
      <c r="D470" s="34" t="s">
        <v>102</v>
      </c>
      <c r="E470" s="52">
        <f t="shared" si="42"/>
        <v>0</v>
      </c>
      <c r="F470" s="52">
        <f t="shared" si="42"/>
        <v>389.3</v>
      </c>
      <c r="G470" s="52">
        <f t="shared" si="42"/>
        <v>389.3</v>
      </c>
      <c r="H470" s="52">
        <f t="shared" si="42"/>
        <v>401.3</v>
      </c>
      <c r="I470" s="33">
        <f>H470-G470</f>
        <v>12</v>
      </c>
      <c r="J470" s="33"/>
      <c r="K470" s="33">
        <f t="shared" si="41"/>
        <v>103.08245568969947</v>
      </c>
      <c r="L470" s="33">
        <f>H470-E470</f>
        <v>401.3</v>
      </c>
      <c r="M470" s="33"/>
    </row>
    <row r="471" spans="1:13" ht="84" customHeight="1">
      <c r="A471" s="111"/>
      <c r="B471" s="111"/>
      <c r="C471" s="22" t="s">
        <v>22</v>
      </c>
      <c r="D471" s="48" t="s">
        <v>23</v>
      </c>
      <c r="E471" s="52">
        <f t="shared" si="42"/>
        <v>144.60000000000002</v>
      </c>
      <c r="F471" s="52">
        <f t="shared" si="42"/>
        <v>0</v>
      </c>
      <c r="G471" s="52">
        <f t="shared" si="42"/>
        <v>0</v>
      </c>
      <c r="H471" s="52">
        <f t="shared" si="42"/>
        <v>169.8</v>
      </c>
      <c r="I471" s="33">
        <f>H471-G471</f>
        <v>169.8</v>
      </c>
      <c r="J471" s="33"/>
      <c r="K471" s="33"/>
      <c r="L471" s="33">
        <f>H471-E471</f>
        <v>25.19999999999999</v>
      </c>
      <c r="M471" s="33">
        <f>H471/E471*100</f>
        <v>117.42738589211616</v>
      </c>
    </row>
    <row r="472" spans="1:13" ht="94.5">
      <c r="A472" s="111"/>
      <c r="B472" s="111"/>
      <c r="C472" s="22" t="s">
        <v>24</v>
      </c>
      <c r="D472" s="36" t="s">
        <v>195</v>
      </c>
      <c r="E472" s="52">
        <f t="shared" si="42"/>
        <v>132060</v>
      </c>
      <c r="F472" s="52">
        <f t="shared" si="42"/>
        <v>1162983.4</v>
      </c>
      <c r="G472" s="52">
        <f t="shared" si="42"/>
        <v>528827</v>
      </c>
      <c r="H472" s="52">
        <f t="shared" si="42"/>
        <v>424318.2</v>
      </c>
      <c r="I472" s="33">
        <f>H472-G472</f>
        <v>-104508.79999999999</v>
      </c>
      <c r="J472" s="33">
        <f>H472/G472*100</f>
        <v>80.23762024253679</v>
      </c>
      <c r="K472" s="33">
        <f>H472/F472*100</f>
        <v>36.485318707042595</v>
      </c>
      <c r="L472" s="33">
        <f>H472-E472</f>
        <v>292258.2</v>
      </c>
      <c r="M472" s="33">
        <f>H472/E472*100</f>
        <v>321.30713312130854</v>
      </c>
    </row>
    <row r="473" spans="1:13" ht="48" customHeight="1">
      <c r="A473" s="111"/>
      <c r="B473" s="111"/>
      <c r="C473" s="22" t="s">
        <v>26</v>
      </c>
      <c r="D473" s="36" t="s">
        <v>27</v>
      </c>
      <c r="E473" s="52">
        <f t="shared" si="42"/>
        <v>173703.90000000002</v>
      </c>
      <c r="F473" s="52">
        <f t="shared" si="42"/>
        <v>194210.3</v>
      </c>
      <c r="G473" s="52">
        <f t="shared" si="42"/>
        <v>117169.6</v>
      </c>
      <c r="H473" s="52">
        <f t="shared" si="42"/>
        <v>36659.9</v>
      </c>
      <c r="I473" s="33">
        <f t="shared" si="44"/>
        <v>-80509.70000000001</v>
      </c>
      <c r="J473" s="33">
        <f>H473/G473*100</f>
        <v>31.28789378814983</v>
      </c>
      <c r="K473" s="33">
        <f>H473/F473*100</f>
        <v>18.876393270593788</v>
      </c>
      <c r="L473" s="33">
        <f t="shared" si="45"/>
        <v>-137044.00000000003</v>
      </c>
      <c r="M473" s="33">
        <f t="shared" si="46"/>
        <v>21.10482263207677</v>
      </c>
    </row>
    <row r="474" spans="1:13" ht="16.5" customHeight="1">
      <c r="A474" s="111"/>
      <c r="B474" s="111"/>
      <c r="C474" s="23" t="s">
        <v>28</v>
      </c>
      <c r="D474" s="34" t="s">
        <v>29</v>
      </c>
      <c r="E474" s="52">
        <f t="shared" si="42"/>
        <v>76298</v>
      </c>
      <c r="F474" s="52">
        <f t="shared" si="42"/>
        <v>136184.3</v>
      </c>
      <c r="G474" s="52">
        <f t="shared" si="42"/>
        <v>69308.90000000001</v>
      </c>
      <c r="H474" s="52">
        <f t="shared" si="42"/>
        <v>90622.9</v>
      </c>
      <c r="I474" s="33">
        <f t="shared" si="44"/>
        <v>21313.999999999985</v>
      </c>
      <c r="J474" s="33">
        <f>H474/G474*100</f>
        <v>130.7521833415333</v>
      </c>
      <c r="K474" s="33">
        <f>H474/F474*100</f>
        <v>66.54430797088945</v>
      </c>
      <c r="L474" s="33">
        <f t="shared" si="45"/>
        <v>14324.899999999994</v>
      </c>
      <c r="M474" s="33">
        <f t="shared" si="46"/>
        <v>118.77493512280792</v>
      </c>
    </row>
    <row r="475" spans="1:14" s="71" customFormat="1" ht="78.75" hidden="1">
      <c r="A475" s="111"/>
      <c r="B475" s="111"/>
      <c r="C475" s="77" t="s">
        <v>134</v>
      </c>
      <c r="D475" s="78" t="s">
        <v>135</v>
      </c>
      <c r="E475" s="68">
        <f t="shared" si="42"/>
        <v>1114.4</v>
      </c>
      <c r="F475" s="68">
        <f t="shared" si="42"/>
        <v>2000</v>
      </c>
      <c r="G475" s="68">
        <f t="shared" si="42"/>
        <v>1121.8</v>
      </c>
      <c r="H475" s="68">
        <f t="shared" si="42"/>
        <v>2402.6</v>
      </c>
      <c r="I475" s="69">
        <f t="shared" si="44"/>
        <v>1280.8</v>
      </c>
      <c r="J475" s="69">
        <f aca="true" t="shared" si="47" ref="J475:J494">H475/G475*100</f>
        <v>214.17364949188803</v>
      </c>
      <c r="K475" s="69">
        <f aca="true" t="shared" si="48" ref="K475:K494">H475/F475*100</f>
        <v>120.13000000000001</v>
      </c>
      <c r="L475" s="69">
        <f t="shared" si="45"/>
        <v>1288.1999999999998</v>
      </c>
      <c r="M475" s="69">
        <f t="shared" si="46"/>
        <v>215.5958363244795</v>
      </c>
      <c r="N475" s="70"/>
    </row>
    <row r="476" spans="1:14" s="71" customFormat="1" ht="63" hidden="1">
      <c r="A476" s="111"/>
      <c r="B476" s="111"/>
      <c r="C476" s="77" t="s">
        <v>143</v>
      </c>
      <c r="D476" s="78" t="s">
        <v>144</v>
      </c>
      <c r="E476" s="68">
        <f t="shared" si="42"/>
        <v>264.4</v>
      </c>
      <c r="F476" s="68">
        <f t="shared" si="42"/>
        <v>500</v>
      </c>
      <c r="G476" s="68">
        <f t="shared" si="42"/>
        <v>265</v>
      </c>
      <c r="H476" s="68">
        <f t="shared" si="42"/>
        <v>162.9</v>
      </c>
      <c r="I476" s="69">
        <f t="shared" si="44"/>
        <v>-102.1</v>
      </c>
      <c r="J476" s="69">
        <f t="shared" si="47"/>
        <v>61.47169811320755</v>
      </c>
      <c r="K476" s="69">
        <f t="shared" si="48"/>
        <v>32.580000000000005</v>
      </c>
      <c r="L476" s="69">
        <f t="shared" si="45"/>
        <v>-101.49999999999997</v>
      </c>
      <c r="M476" s="69">
        <f t="shared" si="46"/>
        <v>61.61119515885023</v>
      </c>
      <c r="N476" s="70"/>
    </row>
    <row r="477" spans="1:14" s="71" customFormat="1" ht="63" hidden="1">
      <c r="A477" s="111"/>
      <c r="B477" s="111"/>
      <c r="C477" s="77" t="s">
        <v>136</v>
      </c>
      <c r="D477" s="78" t="s">
        <v>137</v>
      </c>
      <c r="E477" s="68">
        <f t="shared" si="42"/>
        <v>580</v>
      </c>
      <c r="F477" s="68">
        <f t="shared" si="42"/>
        <v>1000</v>
      </c>
      <c r="G477" s="68">
        <f t="shared" si="42"/>
        <v>651.7</v>
      </c>
      <c r="H477" s="68">
        <f t="shared" si="42"/>
        <v>863.9</v>
      </c>
      <c r="I477" s="69">
        <f t="shared" si="44"/>
        <v>212.19999999999993</v>
      </c>
      <c r="J477" s="69">
        <f t="shared" si="47"/>
        <v>132.56099432254103</v>
      </c>
      <c r="K477" s="69">
        <f t="shared" si="48"/>
        <v>86.39</v>
      </c>
      <c r="L477" s="69">
        <f t="shared" si="45"/>
        <v>283.9</v>
      </c>
      <c r="M477" s="69">
        <f t="shared" si="46"/>
        <v>148.94827586206895</v>
      </c>
      <c r="N477" s="70"/>
    </row>
    <row r="478" spans="1:14" s="71" customFormat="1" ht="63" hidden="1">
      <c r="A478" s="111"/>
      <c r="B478" s="111"/>
      <c r="C478" s="77" t="s">
        <v>145</v>
      </c>
      <c r="D478" s="78" t="s">
        <v>146</v>
      </c>
      <c r="E478" s="68">
        <f t="shared" si="42"/>
        <v>318</v>
      </c>
      <c r="F478" s="68">
        <f t="shared" si="42"/>
        <v>529.4</v>
      </c>
      <c r="G478" s="68">
        <f t="shared" si="42"/>
        <v>299.7</v>
      </c>
      <c r="H478" s="68">
        <f t="shared" si="42"/>
        <v>539.4</v>
      </c>
      <c r="I478" s="69">
        <f t="shared" si="44"/>
        <v>239.7</v>
      </c>
      <c r="J478" s="69">
        <f t="shared" si="47"/>
        <v>179.97997997998</v>
      </c>
      <c r="K478" s="69">
        <f t="shared" si="48"/>
        <v>101.88893086513033</v>
      </c>
      <c r="L478" s="69">
        <f t="shared" si="45"/>
        <v>221.39999999999998</v>
      </c>
      <c r="M478" s="69">
        <f t="shared" si="46"/>
        <v>169.62264150943395</v>
      </c>
      <c r="N478" s="70"/>
    </row>
    <row r="479" spans="1:14" s="71" customFormat="1" ht="31.5" hidden="1">
      <c r="A479" s="111"/>
      <c r="B479" s="111"/>
      <c r="C479" s="77" t="s">
        <v>52</v>
      </c>
      <c r="D479" s="78" t="s">
        <v>53</v>
      </c>
      <c r="E479" s="68">
        <f t="shared" si="42"/>
        <v>148.1</v>
      </c>
      <c r="F479" s="68">
        <f t="shared" si="42"/>
        <v>0</v>
      </c>
      <c r="G479" s="68">
        <f t="shared" si="42"/>
        <v>0</v>
      </c>
      <c r="H479" s="68">
        <f t="shared" si="42"/>
        <v>0</v>
      </c>
      <c r="I479" s="69">
        <f t="shared" si="44"/>
        <v>0</v>
      </c>
      <c r="J479" s="69" t="e">
        <f t="shared" si="47"/>
        <v>#DIV/0!</v>
      </c>
      <c r="K479" s="69" t="e">
        <f t="shared" si="48"/>
        <v>#DIV/0!</v>
      </c>
      <c r="L479" s="69">
        <f t="shared" si="45"/>
        <v>-148.1</v>
      </c>
      <c r="M479" s="69">
        <f t="shared" si="46"/>
        <v>0</v>
      </c>
      <c r="N479" s="70"/>
    </row>
    <row r="480" spans="1:14" s="71" customFormat="1" ht="63" hidden="1">
      <c r="A480" s="111"/>
      <c r="B480" s="111"/>
      <c r="C480" s="77" t="s">
        <v>147</v>
      </c>
      <c r="D480" s="78" t="s">
        <v>148</v>
      </c>
      <c r="E480" s="68">
        <f t="shared" si="42"/>
        <v>0</v>
      </c>
      <c r="F480" s="68">
        <f t="shared" si="42"/>
        <v>2.2</v>
      </c>
      <c r="G480" s="68">
        <f t="shared" si="42"/>
        <v>0</v>
      </c>
      <c r="H480" s="68">
        <f t="shared" si="42"/>
        <v>3.5</v>
      </c>
      <c r="I480" s="69">
        <f t="shared" si="44"/>
        <v>3.5</v>
      </c>
      <c r="J480" s="69" t="e">
        <f t="shared" si="47"/>
        <v>#DIV/0!</v>
      </c>
      <c r="K480" s="69">
        <f t="shared" si="48"/>
        <v>159.0909090909091</v>
      </c>
      <c r="L480" s="69">
        <f t="shared" si="45"/>
        <v>3.5</v>
      </c>
      <c r="M480" s="69" t="e">
        <f t="shared" si="46"/>
        <v>#DIV/0!</v>
      </c>
      <c r="N480" s="70"/>
    </row>
    <row r="481" spans="1:14" s="71" customFormat="1" ht="63" hidden="1">
      <c r="A481" s="111"/>
      <c r="B481" s="111"/>
      <c r="C481" s="77" t="s">
        <v>30</v>
      </c>
      <c r="D481" s="79" t="s">
        <v>31</v>
      </c>
      <c r="E481" s="68">
        <f t="shared" si="42"/>
        <v>232.2</v>
      </c>
      <c r="F481" s="68">
        <f t="shared" si="42"/>
        <v>0</v>
      </c>
      <c r="G481" s="68">
        <f t="shared" si="42"/>
        <v>0</v>
      </c>
      <c r="H481" s="68">
        <f t="shared" si="42"/>
        <v>599.3</v>
      </c>
      <c r="I481" s="69">
        <f t="shared" si="44"/>
        <v>599.3</v>
      </c>
      <c r="J481" s="69" t="e">
        <f t="shared" si="47"/>
        <v>#DIV/0!</v>
      </c>
      <c r="K481" s="69" t="e">
        <f t="shared" si="48"/>
        <v>#DIV/0!</v>
      </c>
      <c r="L481" s="69">
        <f t="shared" si="45"/>
        <v>367.09999999999997</v>
      </c>
      <c r="M481" s="69">
        <f t="shared" si="46"/>
        <v>258.09646856158486</v>
      </c>
      <c r="N481" s="70"/>
    </row>
    <row r="482" spans="1:14" s="71" customFormat="1" ht="31.5" hidden="1">
      <c r="A482" s="111"/>
      <c r="B482" s="111"/>
      <c r="C482" s="77" t="s">
        <v>77</v>
      </c>
      <c r="D482" s="78" t="s">
        <v>78</v>
      </c>
      <c r="E482" s="68">
        <f aca="true" t="shared" si="49" ref="E482:H496">SUMIF($C$6:$C$437,$C482,E$6:E$437)</f>
        <v>615.1</v>
      </c>
      <c r="F482" s="68">
        <f t="shared" si="49"/>
        <v>1400</v>
      </c>
      <c r="G482" s="68">
        <f t="shared" si="49"/>
        <v>658</v>
      </c>
      <c r="H482" s="68">
        <f t="shared" si="49"/>
        <v>751.4</v>
      </c>
      <c r="I482" s="69">
        <f t="shared" si="44"/>
        <v>93.39999999999998</v>
      </c>
      <c r="J482" s="69">
        <f t="shared" si="47"/>
        <v>114.19452887537993</v>
      </c>
      <c r="K482" s="69">
        <f t="shared" si="48"/>
        <v>53.67142857142857</v>
      </c>
      <c r="L482" s="69">
        <f t="shared" si="45"/>
        <v>136.29999999999995</v>
      </c>
      <c r="M482" s="69">
        <f t="shared" si="46"/>
        <v>122.15899853682328</v>
      </c>
      <c r="N482" s="70"/>
    </row>
    <row r="483" spans="1:14" s="71" customFormat="1" ht="47.25" hidden="1">
      <c r="A483" s="111"/>
      <c r="B483" s="111"/>
      <c r="C483" s="77" t="s">
        <v>196</v>
      </c>
      <c r="D483" s="78" t="s">
        <v>197</v>
      </c>
      <c r="E483" s="68">
        <f t="shared" si="49"/>
        <v>0</v>
      </c>
      <c r="F483" s="68">
        <f t="shared" si="49"/>
        <v>0</v>
      </c>
      <c r="G483" s="68">
        <f t="shared" si="49"/>
        <v>0</v>
      </c>
      <c r="H483" s="68">
        <f t="shared" si="49"/>
        <v>0</v>
      </c>
      <c r="I483" s="69">
        <f t="shared" si="44"/>
        <v>0</v>
      </c>
      <c r="J483" s="69" t="e">
        <f t="shared" si="47"/>
        <v>#DIV/0!</v>
      </c>
      <c r="K483" s="69" t="e">
        <f t="shared" si="48"/>
        <v>#DIV/0!</v>
      </c>
      <c r="L483" s="69">
        <f t="shared" si="45"/>
        <v>0</v>
      </c>
      <c r="M483" s="69" t="e">
        <f t="shared" si="46"/>
        <v>#DIV/0!</v>
      </c>
      <c r="N483" s="70"/>
    </row>
    <row r="484" spans="1:14" s="71" customFormat="1" ht="47.25" hidden="1">
      <c r="A484" s="111"/>
      <c r="B484" s="111"/>
      <c r="C484" s="77" t="s">
        <v>79</v>
      </c>
      <c r="D484" s="78" t="s">
        <v>80</v>
      </c>
      <c r="E484" s="68">
        <f t="shared" si="49"/>
        <v>2029.2</v>
      </c>
      <c r="F484" s="68">
        <f t="shared" si="49"/>
        <v>1100</v>
      </c>
      <c r="G484" s="68">
        <f t="shared" si="49"/>
        <v>407</v>
      </c>
      <c r="H484" s="68">
        <f t="shared" si="49"/>
        <v>505.6</v>
      </c>
      <c r="I484" s="69">
        <f t="shared" si="44"/>
        <v>98.60000000000002</v>
      </c>
      <c r="J484" s="69">
        <f t="shared" si="47"/>
        <v>124.22604422604424</v>
      </c>
      <c r="K484" s="69">
        <f t="shared" si="48"/>
        <v>45.96363636363637</v>
      </c>
      <c r="L484" s="69">
        <f t="shared" si="45"/>
        <v>-1523.6</v>
      </c>
      <c r="M484" s="69">
        <f t="shared" si="46"/>
        <v>24.916223142124977</v>
      </c>
      <c r="N484" s="70"/>
    </row>
    <row r="485" spans="1:14" s="71" customFormat="1" ht="31.5" hidden="1">
      <c r="A485" s="111"/>
      <c r="B485" s="111"/>
      <c r="C485" s="77" t="s">
        <v>81</v>
      </c>
      <c r="D485" s="78" t="s">
        <v>82</v>
      </c>
      <c r="E485" s="68">
        <f t="shared" si="49"/>
        <v>0</v>
      </c>
      <c r="F485" s="68">
        <f t="shared" si="49"/>
        <v>0</v>
      </c>
      <c r="G485" s="68">
        <f t="shared" si="49"/>
        <v>0</v>
      </c>
      <c r="H485" s="68">
        <f t="shared" si="49"/>
        <v>0</v>
      </c>
      <c r="I485" s="69">
        <f t="shared" si="44"/>
        <v>0</v>
      </c>
      <c r="J485" s="69" t="e">
        <f t="shared" si="47"/>
        <v>#DIV/0!</v>
      </c>
      <c r="K485" s="69" t="e">
        <f t="shared" si="48"/>
        <v>#DIV/0!</v>
      </c>
      <c r="L485" s="69">
        <f t="shared" si="45"/>
        <v>0</v>
      </c>
      <c r="M485" s="69" t="e">
        <f t="shared" si="46"/>
        <v>#DIV/0!</v>
      </c>
      <c r="N485" s="70"/>
    </row>
    <row r="486" spans="1:14" s="71" customFormat="1" ht="31.5" hidden="1">
      <c r="A486" s="111"/>
      <c r="B486" s="111"/>
      <c r="C486" s="77" t="s">
        <v>83</v>
      </c>
      <c r="D486" s="78" t="s">
        <v>84</v>
      </c>
      <c r="E486" s="68">
        <f t="shared" si="49"/>
        <v>2365.2</v>
      </c>
      <c r="F486" s="68">
        <f t="shared" si="49"/>
        <v>3553.3</v>
      </c>
      <c r="G486" s="68">
        <f t="shared" si="49"/>
        <v>1812.1</v>
      </c>
      <c r="H486" s="68">
        <f t="shared" si="49"/>
        <v>1768.5</v>
      </c>
      <c r="I486" s="69">
        <f t="shared" si="44"/>
        <v>-43.59999999999991</v>
      </c>
      <c r="J486" s="69">
        <f t="shared" si="47"/>
        <v>97.5939517686662</v>
      </c>
      <c r="K486" s="69">
        <f t="shared" si="48"/>
        <v>49.77063574705203</v>
      </c>
      <c r="L486" s="69">
        <f t="shared" si="45"/>
        <v>-596.6999999999998</v>
      </c>
      <c r="M486" s="69">
        <f t="shared" si="46"/>
        <v>74.77168949771689</v>
      </c>
      <c r="N486" s="70"/>
    </row>
    <row r="487" spans="1:14" s="71" customFormat="1" ht="31.5" hidden="1">
      <c r="A487" s="111"/>
      <c r="B487" s="111"/>
      <c r="C487" s="77" t="s">
        <v>175</v>
      </c>
      <c r="D487" s="78" t="s">
        <v>176</v>
      </c>
      <c r="E487" s="68">
        <f t="shared" si="49"/>
        <v>303.1</v>
      </c>
      <c r="F487" s="68">
        <f t="shared" si="49"/>
        <v>729</v>
      </c>
      <c r="G487" s="68">
        <f t="shared" si="49"/>
        <v>391.1</v>
      </c>
      <c r="H487" s="68">
        <f t="shared" si="49"/>
        <v>394.2</v>
      </c>
      <c r="I487" s="69">
        <f t="shared" si="44"/>
        <v>3.099999999999966</v>
      </c>
      <c r="J487" s="69">
        <f t="shared" si="47"/>
        <v>100.7926361544362</v>
      </c>
      <c r="K487" s="69">
        <f t="shared" si="48"/>
        <v>54.074074074074076</v>
      </c>
      <c r="L487" s="69">
        <f t="shared" si="45"/>
        <v>91.09999999999997</v>
      </c>
      <c r="M487" s="69">
        <f t="shared" si="46"/>
        <v>130.056087099967</v>
      </c>
      <c r="N487" s="70"/>
    </row>
    <row r="488" spans="1:14" s="71" customFormat="1" ht="31.5" hidden="1">
      <c r="A488" s="111"/>
      <c r="B488" s="111"/>
      <c r="C488" s="77" t="s">
        <v>85</v>
      </c>
      <c r="D488" s="78" t="s">
        <v>86</v>
      </c>
      <c r="E488" s="68">
        <f t="shared" si="49"/>
        <v>0</v>
      </c>
      <c r="F488" s="68">
        <f t="shared" si="49"/>
        <v>0</v>
      </c>
      <c r="G488" s="68">
        <f t="shared" si="49"/>
        <v>0</v>
      </c>
      <c r="H488" s="68">
        <f t="shared" si="49"/>
        <v>0</v>
      </c>
      <c r="I488" s="69">
        <f t="shared" si="44"/>
        <v>0</v>
      </c>
      <c r="J488" s="69" t="e">
        <f t="shared" si="47"/>
        <v>#DIV/0!</v>
      </c>
      <c r="K488" s="69" t="e">
        <f t="shared" si="48"/>
        <v>#DIV/0!</v>
      </c>
      <c r="L488" s="69">
        <f t="shared" si="45"/>
        <v>0</v>
      </c>
      <c r="M488" s="69" t="e">
        <f t="shared" si="46"/>
        <v>#DIV/0!</v>
      </c>
      <c r="N488" s="70"/>
    </row>
    <row r="489" spans="1:14" s="71" customFormat="1" ht="31.5" hidden="1">
      <c r="A489" s="111"/>
      <c r="B489" s="111"/>
      <c r="C489" s="77" t="s">
        <v>87</v>
      </c>
      <c r="D489" s="78" t="s">
        <v>88</v>
      </c>
      <c r="E489" s="68">
        <f t="shared" si="49"/>
        <v>0</v>
      </c>
      <c r="F489" s="68">
        <f t="shared" si="49"/>
        <v>0</v>
      </c>
      <c r="G489" s="68">
        <f t="shared" si="49"/>
        <v>0</v>
      </c>
      <c r="H489" s="68">
        <f t="shared" si="49"/>
        <v>0</v>
      </c>
      <c r="I489" s="69">
        <f t="shared" si="44"/>
        <v>0</v>
      </c>
      <c r="J489" s="69" t="e">
        <f t="shared" si="47"/>
        <v>#DIV/0!</v>
      </c>
      <c r="K489" s="69" t="e">
        <f t="shared" si="48"/>
        <v>#DIV/0!</v>
      </c>
      <c r="L489" s="69">
        <f t="shared" si="45"/>
        <v>0</v>
      </c>
      <c r="M489" s="69" t="e">
        <f t="shared" si="46"/>
        <v>#DIV/0!</v>
      </c>
      <c r="N489" s="70"/>
    </row>
    <row r="490" spans="1:14" s="71" customFormat="1" ht="63" hidden="1">
      <c r="A490" s="111"/>
      <c r="B490" s="111"/>
      <c r="C490" s="77" t="s">
        <v>156</v>
      </c>
      <c r="D490" s="78" t="s">
        <v>157</v>
      </c>
      <c r="E490" s="68">
        <f t="shared" si="49"/>
        <v>8079.1</v>
      </c>
      <c r="F490" s="68">
        <f t="shared" si="49"/>
        <v>9124</v>
      </c>
      <c r="G490" s="68">
        <f t="shared" si="49"/>
        <v>5653.7</v>
      </c>
      <c r="H490" s="68">
        <f t="shared" si="49"/>
        <v>6681.1</v>
      </c>
      <c r="I490" s="69">
        <f t="shared" si="44"/>
        <v>1027.4000000000005</v>
      </c>
      <c r="J490" s="69">
        <f t="shared" si="47"/>
        <v>118.17217043705892</v>
      </c>
      <c r="K490" s="69">
        <f t="shared" si="48"/>
        <v>73.22555896536606</v>
      </c>
      <c r="L490" s="69">
        <f t="shared" si="45"/>
        <v>-1398</v>
      </c>
      <c r="M490" s="69">
        <f t="shared" si="46"/>
        <v>82.6960923865282</v>
      </c>
      <c r="N490" s="70"/>
    </row>
    <row r="491" spans="1:14" s="71" customFormat="1" ht="31.5" hidden="1">
      <c r="A491" s="111"/>
      <c r="B491" s="111"/>
      <c r="C491" s="77" t="s">
        <v>128</v>
      </c>
      <c r="D491" s="78" t="s">
        <v>129</v>
      </c>
      <c r="E491" s="68">
        <f t="shared" si="49"/>
        <v>34637.9</v>
      </c>
      <c r="F491" s="68">
        <f t="shared" si="49"/>
        <v>80638.8</v>
      </c>
      <c r="G491" s="68">
        <f t="shared" si="49"/>
        <v>38885.3</v>
      </c>
      <c r="H491" s="68">
        <f t="shared" si="49"/>
        <v>37994</v>
      </c>
      <c r="I491" s="69">
        <f t="shared" si="44"/>
        <v>-891.3000000000029</v>
      </c>
      <c r="J491" s="69">
        <f t="shared" si="47"/>
        <v>97.70787418381752</v>
      </c>
      <c r="K491" s="69">
        <f t="shared" si="48"/>
        <v>47.11627653189284</v>
      </c>
      <c r="L491" s="69">
        <f t="shared" si="45"/>
        <v>3356.0999999999985</v>
      </c>
      <c r="M491" s="69">
        <f t="shared" si="46"/>
        <v>109.68909778017719</v>
      </c>
      <c r="N491" s="70"/>
    </row>
    <row r="492" spans="1:14" s="71" customFormat="1" ht="47.25" hidden="1">
      <c r="A492" s="111"/>
      <c r="B492" s="111"/>
      <c r="C492" s="77" t="s">
        <v>54</v>
      </c>
      <c r="D492" s="80" t="s">
        <v>55</v>
      </c>
      <c r="E492" s="68">
        <f t="shared" si="49"/>
        <v>0</v>
      </c>
      <c r="F492" s="68">
        <f t="shared" si="49"/>
        <v>0</v>
      </c>
      <c r="G492" s="68">
        <f t="shared" si="49"/>
        <v>0</v>
      </c>
      <c r="H492" s="68">
        <f t="shared" si="49"/>
        <v>169.2</v>
      </c>
      <c r="I492" s="69">
        <f t="shared" si="44"/>
        <v>169.2</v>
      </c>
      <c r="J492" s="69" t="e">
        <f t="shared" si="47"/>
        <v>#DIV/0!</v>
      </c>
      <c r="K492" s="69" t="e">
        <f t="shared" si="48"/>
        <v>#DIV/0!</v>
      </c>
      <c r="L492" s="69">
        <f t="shared" si="45"/>
        <v>169.2</v>
      </c>
      <c r="M492" s="69" t="e">
        <f t="shared" si="46"/>
        <v>#DIV/0!</v>
      </c>
      <c r="N492" s="70"/>
    </row>
    <row r="493" spans="1:14" s="71" customFormat="1" ht="267.75" hidden="1">
      <c r="A493" s="111"/>
      <c r="B493" s="111"/>
      <c r="C493" s="66" t="s">
        <v>65</v>
      </c>
      <c r="D493" s="80" t="s">
        <v>66</v>
      </c>
      <c r="E493" s="68">
        <f t="shared" si="49"/>
        <v>91.3</v>
      </c>
      <c r="F493" s="68">
        <f t="shared" si="49"/>
        <v>30</v>
      </c>
      <c r="G493" s="68">
        <f t="shared" si="49"/>
        <v>30</v>
      </c>
      <c r="H493" s="68">
        <f t="shared" si="49"/>
        <v>106</v>
      </c>
      <c r="I493" s="69">
        <f t="shared" si="44"/>
        <v>76</v>
      </c>
      <c r="J493" s="69">
        <f t="shared" si="47"/>
        <v>353.3333333333333</v>
      </c>
      <c r="K493" s="69">
        <f t="shared" si="48"/>
        <v>353.3333333333333</v>
      </c>
      <c r="L493" s="69">
        <f t="shared" si="45"/>
        <v>14.700000000000003</v>
      </c>
      <c r="M493" s="69">
        <f t="shared" si="46"/>
        <v>116.10076670317635</v>
      </c>
      <c r="N493" s="70"/>
    </row>
    <row r="494" spans="1:14" s="71" customFormat="1" ht="47.25" hidden="1">
      <c r="A494" s="111"/>
      <c r="B494" s="111"/>
      <c r="C494" s="77" t="s">
        <v>32</v>
      </c>
      <c r="D494" s="78" t="s">
        <v>33</v>
      </c>
      <c r="E494" s="68">
        <f t="shared" si="49"/>
        <v>25520</v>
      </c>
      <c r="F494" s="68">
        <f t="shared" si="49"/>
        <v>35577.6</v>
      </c>
      <c r="G494" s="68">
        <f t="shared" si="49"/>
        <v>18453.5</v>
      </c>
      <c r="H494" s="68">
        <f t="shared" si="49"/>
        <v>37681.20000000001</v>
      </c>
      <c r="I494" s="69">
        <f t="shared" si="44"/>
        <v>19227.70000000001</v>
      </c>
      <c r="J494" s="69">
        <f t="shared" si="47"/>
        <v>204.19541008480783</v>
      </c>
      <c r="K494" s="69">
        <f t="shared" si="48"/>
        <v>105.91270912034543</v>
      </c>
      <c r="L494" s="69">
        <f t="shared" si="45"/>
        <v>12161.200000000012</v>
      </c>
      <c r="M494" s="69">
        <f t="shared" si="46"/>
        <v>147.653605015674</v>
      </c>
      <c r="N494" s="70"/>
    </row>
    <row r="495" spans="1:13" ht="16.5" customHeight="1">
      <c r="A495" s="111"/>
      <c r="B495" s="111"/>
      <c r="C495" s="23" t="s">
        <v>34</v>
      </c>
      <c r="D495" s="34" t="s">
        <v>35</v>
      </c>
      <c r="E495" s="52">
        <f t="shared" si="49"/>
        <v>-628.7000000000002</v>
      </c>
      <c r="F495" s="52">
        <f t="shared" si="49"/>
        <v>0</v>
      </c>
      <c r="G495" s="52">
        <f t="shared" si="49"/>
        <v>0</v>
      </c>
      <c r="H495" s="52">
        <f t="shared" si="49"/>
        <v>-4818.5999999999985</v>
      </c>
      <c r="I495" s="33">
        <f t="shared" si="44"/>
        <v>-4818.5999999999985</v>
      </c>
      <c r="J495" s="33"/>
      <c r="K495" s="33"/>
      <c r="L495" s="33">
        <f t="shared" si="45"/>
        <v>-4189.899999999999</v>
      </c>
      <c r="M495" s="33">
        <f t="shared" si="46"/>
        <v>766.4386829966594</v>
      </c>
    </row>
    <row r="496" spans="1:13" ht="16.5" customHeight="1">
      <c r="A496" s="111"/>
      <c r="B496" s="111"/>
      <c r="C496" s="23" t="s">
        <v>36</v>
      </c>
      <c r="D496" s="34" t="s">
        <v>163</v>
      </c>
      <c r="E496" s="52">
        <f t="shared" si="49"/>
        <v>106923.09999999999</v>
      </c>
      <c r="F496" s="52">
        <f t="shared" si="49"/>
        <v>140047.8</v>
      </c>
      <c r="G496" s="52">
        <f t="shared" si="49"/>
        <v>79287</v>
      </c>
      <c r="H496" s="52">
        <f t="shared" si="49"/>
        <v>34738.9</v>
      </c>
      <c r="I496" s="33">
        <f t="shared" si="44"/>
        <v>-44548.1</v>
      </c>
      <c r="J496" s="33">
        <f aca="true" t="shared" si="50" ref="J496:J505">H496/G496*100</f>
        <v>43.814118329612675</v>
      </c>
      <c r="K496" s="33">
        <f aca="true" t="shared" si="51" ref="K496:K505">H496/F496*100</f>
        <v>24.805030853751365</v>
      </c>
      <c r="L496" s="33">
        <f t="shared" si="45"/>
        <v>-72184.19999999998</v>
      </c>
      <c r="M496" s="33">
        <f t="shared" si="46"/>
        <v>32.48961169288956</v>
      </c>
    </row>
    <row r="497" spans="1:14" ht="23.25" customHeight="1">
      <c r="A497" s="111"/>
      <c r="B497" s="111"/>
      <c r="C497" s="25"/>
      <c r="D497" s="3" t="s">
        <v>183</v>
      </c>
      <c r="E497" s="8">
        <f>E446+E461</f>
        <v>8964252.899999999</v>
      </c>
      <c r="F497" s="8">
        <f>F446+F461</f>
        <v>17414833.8</v>
      </c>
      <c r="G497" s="8">
        <f>G446+G461</f>
        <v>9491926.7</v>
      </c>
      <c r="H497" s="8">
        <f>H446+H461</f>
        <v>9380414.799999999</v>
      </c>
      <c r="I497" s="4">
        <f t="shared" si="44"/>
        <v>-111511.90000000037</v>
      </c>
      <c r="J497" s="4">
        <f t="shared" si="50"/>
        <v>98.82519214987195</v>
      </c>
      <c r="K497" s="4">
        <f t="shared" si="51"/>
        <v>53.86450946204263</v>
      </c>
      <c r="L497" s="4">
        <f t="shared" si="45"/>
        <v>416161.9000000004</v>
      </c>
      <c r="M497" s="4">
        <f t="shared" si="46"/>
        <v>104.64246049997095</v>
      </c>
      <c r="N497" s="5"/>
    </row>
    <row r="498" spans="1:14" ht="33.75" customHeight="1">
      <c r="A498" s="111"/>
      <c r="B498" s="111"/>
      <c r="C498" s="25"/>
      <c r="D498" s="82" t="s">
        <v>225</v>
      </c>
      <c r="E498" s="83">
        <f>E499-E506</f>
        <v>1957964.5999999999</v>
      </c>
      <c r="F498" s="83">
        <f>F499-F506</f>
        <v>5015396.100000001</v>
      </c>
      <c r="G498" s="83">
        <f>G499-G506</f>
        <v>2341822.0999999996</v>
      </c>
      <c r="H498" s="83">
        <f>H499-H506</f>
        <v>2213079.7</v>
      </c>
      <c r="I498" s="84">
        <f t="shared" si="44"/>
        <v>-128742.39999999944</v>
      </c>
      <c r="J498" s="84">
        <f t="shared" si="50"/>
        <v>94.50246882545008</v>
      </c>
      <c r="K498" s="84">
        <f t="shared" si="51"/>
        <v>44.12572119677646</v>
      </c>
      <c r="L498" s="84">
        <f t="shared" si="45"/>
        <v>255115.10000000033</v>
      </c>
      <c r="M498" s="84">
        <f t="shared" si="46"/>
        <v>113.02960737900982</v>
      </c>
      <c r="N498" s="5"/>
    </row>
    <row r="499" spans="1:14" ht="33.75" customHeight="1">
      <c r="A499" s="111"/>
      <c r="B499" s="111"/>
      <c r="C499" s="25" t="s">
        <v>199</v>
      </c>
      <c r="D499" s="74" t="s">
        <v>226</v>
      </c>
      <c r="E499" s="75">
        <f>SUM(E500:E506)</f>
        <v>1822441.0999999999</v>
      </c>
      <c r="F499" s="75">
        <f>SUM(F500:F506)</f>
        <v>5015396.100000001</v>
      </c>
      <c r="G499" s="75">
        <f>SUM(G500:G506)</f>
        <v>2341822.0999999996</v>
      </c>
      <c r="H499" s="75">
        <f>SUM(H500:H506)</f>
        <v>2115849.4000000004</v>
      </c>
      <c r="I499" s="76">
        <f t="shared" si="44"/>
        <v>-225972.69999999925</v>
      </c>
      <c r="J499" s="76">
        <f t="shared" si="50"/>
        <v>90.35056078768753</v>
      </c>
      <c r="K499" s="76">
        <f t="shared" si="51"/>
        <v>42.18708468509596</v>
      </c>
      <c r="L499" s="76">
        <f t="shared" si="45"/>
        <v>293408.3000000005</v>
      </c>
      <c r="M499" s="76">
        <f t="shared" si="46"/>
        <v>116.09974116584621</v>
      </c>
      <c r="N499" s="5"/>
    </row>
    <row r="500" spans="1:13" ht="267.75" hidden="1">
      <c r="A500" s="111"/>
      <c r="B500" s="111"/>
      <c r="C500" s="23" t="s">
        <v>56</v>
      </c>
      <c r="D500" s="34" t="s">
        <v>57</v>
      </c>
      <c r="E500" s="52">
        <f aca="true" t="shared" si="52" ref="E500:H505">SUMIF($C$6:$C$429,$C500,E$6:E$429)</f>
        <v>0</v>
      </c>
      <c r="F500" s="52">
        <f t="shared" si="52"/>
        <v>0</v>
      </c>
      <c r="G500" s="52">
        <f t="shared" si="52"/>
        <v>0</v>
      </c>
      <c r="H500" s="52">
        <f t="shared" si="52"/>
        <v>0</v>
      </c>
      <c r="I500" s="33">
        <f t="shared" si="44"/>
        <v>0</v>
      </c>
      <c r="J500" s="33"/>
      <c r="K500" s="33"/>
      <c r="L500" s="33">
        <f t="shared" si="45"/>
        <v>0</v>
      </c>
      <c r="M500" s="33"/>
    </row>
    <row r="501" spans="1:13" ht="16.5" customHeight="1">
      <c r="A501" s="111"/>
      <c r="B501" s="111"/>
      <c r="C501" s="23" t="s">
        <v>39</v>
      </c>
      <c r="D501" s="34" t="s">
        <v>201</v>
      </c>
      <c r="E501" s="52">
        <f t="shared" si="52"/>
        <v>156135.90000000002</v>
      </c>
      <c r="F501" s="52">
        <f t="shared" si="52"/>
        <v>1987192.7000000002</v>
      </c>
      <c r="G501" s="52">
        <f t="shared" si="52"/>
        <v>375947.5999999999</v>
      </c>
      <c r="H501" s="52">
        <f t="shared" si="52"/>
        <v>185897.09999999998</v>
      </c>
      <c r="I501" s="33">
        <f t="shared" si="44"/>
        <v>-190050.49999999994</v>
      </c>
      <c r="J501" s="33">
        <f t="shared" si="50"/>
        <v>49.44760918808898</v>
      </c>
      <c r="K501" s="33">
        <f t="shared" si="51"/>
        <v>9.354759606353221</v>
      </c>
      <c r="L501" s="33">
        <f t="shared" si="45"/>
        <v>29761.199999999953</v>
      </c>
      <c r="M501" s="33">
        <f t="shared" si="46"/>
        <v>119.06108716829374</v>
      </c>
    </row>
    <row r="502" spans="1:13" ht="16.5" customHeight="1">
      <c r="A502" s="111"/>
      <c r="B502" s="111"/>
      <c r="C502" s="23" t="s">
        <v>41</v>
      </c>
      <c r="D502" s="34" t="s">
        <v>91</v>
      </c>
      <c r="E502" s="52">
        <f t="shared" si="52"/>
        <v>1546943.4</v>
      </c>
      <c r="F502" s="52">
        <f t="shared" si="52"/>
        <v>2658159.1</v>
      </c>
      <c r="G502" s="52">
        <f t="shared" si="52"/>
        <v>1682755.8999999997</v>
      </c>
      <c r="H502" s="52">
        <f t="shared" si="52"/>
        <v>1813358</v>
      </c>
      <c r="I502" s="33">
        <f t="shared" si="44"/>
        <v>130602.10000000033</v>
      </c>
      <c r="J502" s="33">
        <f t="shared" si="50"/>
        <v>107.7612029171908</v>
      </c>
      <c r="K502" s="33">
        <f t="shared" si="51"/>
        <v>68.2185652469034</v>
      </c>
      <c r="L502" s="33">
        <f t="shared" si="45"/>
        <v>266414.6000000001</v>
      </c>
      <c r="M502" s="33">
        <f t="shared" si="46"/>
        <v>117.22200049465287</v>
      </c>
    </row>
    <row r="503" spans="1:13" ht="16.5" customHeight="1">
      <c r="A503" s="111"/>
      <c r="B503" s="111"/>
      <c r="C503" s="23" t="s">
        <v>59</v>
      </c>
      <c r="D503" s="36" t="s">
        <v>60</v>
      </c>
      <c r="E503" s="52">
        <f t="shared" si="52"/>
        <v>254885.3</v>
      </c>
      <c r="F503" s="52">
        <f t="shared" si="52"/>
        <v>370044.3</v>
      </c>
      <c r="G503" s="52">
        <f t="shared" si="52"/>
        <v>283118.6</v>
      </c>
      <c r="H503" s="52">
        <f t="shared" si="52"/>
        <v>213824.6</v>
      </c>
      <c r="I503" s="33">
        <f t="shared" si="44"/>
        <v>-69293.99999999997</v>
      </c>
      <c r="J503" s="33">
        <f t="shared" si="50"/>
        <v>75.5247447536121</v>
      </c>
      <c r="K503" s="33">
        <f t="shared" si="51"/>
        <v>57.78351402791504</v>
      </c>
      <c r="L503" s="33">
        <f t="shared" si="45"/>
        <v>-41060.69999999998</v>
      </c>
      <c r="M503" s="33">
        <f t="shared" si="46"/>
        <v>83.8905185979733</v>
      </c>
    </row>
    <row r="504" spans="1:13" ht="267.75" hidden="1">
      <c r="A504" s="111"/>
      <c r="B504" s="111"/>
      <c r="C504" s="23" t="s">
        <v>202</v>
      </c>
      <c r="D504" s="46" t="s">
        <v>203</v>
      </c>
      <c r="E504" s="52">
        <f t="shared" si="52"/>
        <v>0</v>
      </c>
      <c r="F504" s="52">
        <f t="shared" si="52"/>
        <v>0</v>
      </c>
      <c r="G504" s="52">
        <f t="shared" si="52"/>
        <v>0</v>
      </c>
      <c r="H504" s="52">
        <f t="shared" si="52"/>
        <v>0</v>
      </c>
      <c r="I504" s="33">
        <f t="shared" si="44"/>
        <v>0</v>
      </c>
      <c r="J504" s="33" t="e">
        <f t="shared" si="50"/>
        <v>#DIV/0!</v>
      </c>
      <c r="K504" s="33" t="e">
        <f t="shared" si="51"/>
        <v>#DIV/0!</v>
      </c>
      <c r="L504" s="33">
        <f t="shared" si="45"/>
        <v>0</v>
      </c>
      <c r="M504" s="33" t="e">
        <f t="shared" si="46"/>
        <v>#DIV/0!</v>
      </c>
    </row>
    <row r="505" spans="1:13" ht="267.75" hidden="1">
      <c r="A505" s="111"/>
      <c r="B505" s="111"/>
      <c r="C505" s="23" t="s">
        <v>70</v>
      </c>
      <c r="D505" s="34" t="s">
        <v>71</v>
      </c>
      <c r="E505" s="52">
        <f t="shared" si="52"/>
        <v>0</v>
      </c>
      <c r="F505" s="52">
        <f t="shared" si="52"/>
        <v>0</v>
      </c>
      <c r="G505" s="52">
        <f t="shared" si="52"/>
        <v>0</v>
      </c>
      <c r="H505" s="52">
        <f t="shared" si="52"/>
        <v>0</v>
      </c>
      <c r="I505" s="33">
        <f t="shared" si="44"/>
        <v>0</v>
      </c>
      <c r="J505" s="33" t="e">
        <f t="shared" si="50"/>
        <v>#DIV/0!</v>
      </c>
      <c r="K505" s="33" t="e">
        <f t="shared" si="51"/>
        <v>#DIV/0!</v>
      </c>
      <c r="L505" s="33">
        <f t="shared" si="45"/>
        <v>0</v>
      </c>
      <c r="M505" s="33" t="e">
        <f t="shared" si="46"/>
        <v>#DIV/0!</v>
      </c>
    </row>
    <row r="506" spans="1:13" ht="16.5" customHeight="1">
      <c r="A506" s="111"/>
      <c r="B506" s="111"/>
      <c r="C506" s="23" t="s">
        <v>43</v>
      </c>
      <c r="D506" s="34" t="s">
        <v>38</v>
      </c>
      <c r="E506" s="52">
        <f>SUMIF($C$6:$C$429,$C506,E$6:E$429)</f>
        <v>-135523.5</v>
      </c>
      <c r="F506" s="52"/>
      <c r="G506" s="52"/>
      <c r="H506" s="52">
        <f>SUMIF($C$6:$C$429,$C506,H$6:H$429)</f>
        <v>-97230.29999999999</v>
      </c>
      <c r="I506" s="33">
        <f t="shared" si="44"/>
        <v>-97230.29999999999</v>
      </c>
      <c r="J506" s="33"/>
      <c r="K506" s="33"/>
      <c r="L506" s="33">
        <f t="shared" si="45"/>
        <v>38293.20000000001</v>
      </c>
      <c r="M506" s="33">
        <f t="shared" si="46"/>
        <v>71.74423623947138</v>
      </c>
    </row>
    <row r="507" spans="1:14" ht="23.25" customHeight="1">
      <c r="A507" s="111"/>
      <c r="B507" s="111"/>
      <c r="C507" s="24"/>
      <c r="D507" s="85" t="s">
        <v>224</v>
      </c>
      <c r="E507" s="83">
        <f>E508-E506</f>
        <v>10922217.499999998</v>
      </c>
      <c r="F507" s="83">
        <f>F508-F506</f>
        <v>22430229.900000002</v>
      </c>
      <c r="G507" s="83">
        <f>G508-G506</f>
        <v>11833748.799999999</v>
      </c>
      <c r="H507" s="83">
        <f>H508-H506</f>
        <v>11593494.5</v>
      </c>
      <c r="I507" s="84">
        <f t="shared" si="44"/>
        <v>-240254.29999999888</v>
      </c>
      <c r="J507" s="84">
        <f>H507/G507*100</f>
        <v>97.96975325350832</v>
      </c>
      <c r="K507" s="84">
        <f>H507/F507*100</f>
        <v>51.686917841176474</v>
      </c>
      <c r="L507" s="84">
        <f t="shared" si="45"/>
        <v>671277.0000000019</v>
      </c>
      <c r="M507" s="84">
        <f t="shared" si="46"/>
        <v>106.145977224863</v>
      </c>
      <c r="N507" s="5"/>
    </row>
    <row r="508" spans="1:14" ht="23.25" customHeight="1">
      <c r="A508" s="111"/>
      <c r="B508" s="111"/>
      <c r="C508" s="24"/>
      <c r="D508" s="81" t="s">
        <v>207</v>
      </c>
      <c r="E508" s="75">
        <f>E497+E499</f>
        <v>10786693.999999998</v>
      </c>
      <c r="F508" s="75">
        <f>F497+F499</f>
        <v>22430229.900000002</v>
      </c>
      <c r="G508" s="75">
        <f>G497+G499</f>
        <v>11833748.799999999</v>
      </c>
      <c r="H508" s="75">
        <f>H497+H499</f>
        <v>11496264.2</v>
      </c>
      <c r="I508" s="76">
        <f t="shared" si="44"/>
        <v>-337484.5999999996</v>
      </c>
      <c r="J508" s="76">
        <f>H508/G508*100</f>
        <v>97.14811759397833</v>
      </c>
      <c r="K508" s="76">
        <f>H508/F508*100</f>
        <v>51.253439002869946</v>
      </c>
      <c r="L508" s="76">
        <f t="shared" si="45"/>
        <v>709570.2000000011</v>
      </c>
      <c r="M508" s="76">
        <f t="shared" si="46"/>
        <v>106.57819902928554</v>
      </c>
      <c r="N508" s="5"/>
    </row>
    <row r="509" spans="1:14" ht="31.5" hidden="1">
      <c r="A509" s="14"/>
      <c r="B509" s="14"/>
      <c r="C509" s="25"/>
      <c r="D509" s="3" t="s">
        <v>185</v>
      </c>
      <c r="E509" s="11">
        <f>E510</f>
        <v>0</v>
      </c>
      <c r="F509" s="11">
        <f>F510</f>
        <v>0</v>
      </c>
      <c r="G509" s="11">
        <f>G510</f>
        <v>0</v>
      </c>
      <c r="H509" s="11">
        <f>H510</f>
        <v>0</v>
      </c>
      <c r="I509" s="4">
        <f t="shared" si="44"/>
        <v>0</v>
      </c>
      <c r="J509" s="4" t="e">
        <f>H509/G509*100</f>
        <v>#DIV/0!</v>
      </c>
      <c r="K509" s="4" t="e">
        <f>H509/F509*100</f>
        <v>#DIV/0!</v>
      </c>
      <c r="L509" s="4">
        <f t="shared" si="45"/>
        <v>0</v>
      </c>
      <c r="M509" s="4" t="e">
        <f t="shared" si="46"/>
        <v>#DIV/0!</v>
      </c>
      <c r="N509" s="5"/>
    </row>
    <row r="510" spans="1:13" ht="31.5" hidden="1">
      <c r="A510" s="9"/>
      <c r="B510" s="9"/>
      <c r="C510" s="22" t="s">
        <v>186</v>
      </c>
      <c r="D510" s="36" t="s">
        <v>187</v>
      </c>
      <c r="E510" s="52">
        <f>SUMIF($C$6:$C$437,$C510,E$6:E$437)</f>
        <v>0</v>
      </c>
      <c r="F510" s="54">
        <f>F437</f>
        <v>0</v>
      </c>
      <c r="G510" s="54">
        <f>G437</f>
        <v>0</v>
      </c>
      <c r="H510" s="52">
        <f>SUMIF($C$6:$C$437,$C510,H$6:H$437)</f>
        <v>0</v>
      </c>
      <c r="I510" s="33">
        <f t="shared" si="44"/>
        <v>0</v>
      </c>
      <c r="J510" s="33" t="e">
        <f>H510/G510*100</f>
        <v>#DIV/0!</v>
      </c>
      <c r="K510" s="33" t="e">
        <f>H510/F510*100</f>
        <v>#DIV/0!</v>
      </c>
      <c r="L510" s="33">
        <f t="shared" si="45"/>
        <v>0</v>
      </c>
      <c r="M510" s="33" t="e">
        <f t="shared" si="46"/>
        <v>#DIV/0!</v>
      </c>
    </row>
    <row r="511" spans="1:11" ht="15.75">
      <c r="A511" s="12"/>
      <c r="B511" s="12"/>
      <c r="C511" s="29"/>
      <c r="D511" s="2"/>
      <c r="E511" s="15"/>
      <c r="F511" s="15"/>
      <c r="G511" s="15"/>
      <c r="H511" s="57"/>
      <c r="I511" s="59"/>
      <c r="J511" s="41"/>
      <c r="K511" s="41"/>
    </row>
    <row r="512" spans="1:11" ht="15.75">
      <c r="A512" s="12"/>
      <c r="B512" s="12"/>
      <c r="C512" s="29"/>
      <c r="D512" s="2"/>
      <c r="E512" s="15"/>
      <c r="F512" s="15"/>
      <c r="G512" s="15"/>
      <c r="H512" s="57"/>
      <c r="I512" s="59"/>
      <c r="J512" s="41"/>
      <c r="K512" s="41"/>
    </row>
    <row r="513" spans="1:11" ht="15.75">
      <c r="A513" s="12"/>
      <c r="B513" s="12"/>
      <c r="C513" s="29"/>
      <c r="D513" s="2"/>
      <c r="E513" s="15"/>
      <c r="F513" s="15"/>
      <c r="G513" s="15"/>
      <c r="H513" s="57"/>
      <c r="I513" s="59"/>
      <c r="J513" s="41"/>
      <c r="K513" s="41"/>
    </row>
    <row r="514" spans="1:9" ht="15.75">
      <c r="A514" s="16"/>
      <c r="B514" s="17"/>
      <c r="C514" s="30"/>
      <c r="D514" s="60"/>
      <c r="E514" s="61"/>
      <c r="F514" s="61"/>
      <c r="G514" s="61"/>
      <c r="H514" s="61"/>
      <c r="I514" s="62"/>
    </row>
    <row r="515" spans="1:9" ht="15.75">
      <c r="A515" s="16"/>
      <c r="B515" s="17"/>
      <c r="C515" s="30"/>
      <c r="D515" s="60"/>
      <c r="E515" s="61"/>
      <c r="F515" s="61"/>
      <c r="G515" s="61"/>
      <c r="H515" s="61"/>
      <c r="I515" s="62"/>
    </row>
    <row r="516" spans="1:9" ht="15.75">
      <c r="A516" s="16"/>
      <c r="B516" s="17"/>
      <c r="C516" s="30"/>
      <c r="D516" s="60"/>
      <c r="E516" s="61"/>
      <c r="F516" s="61"/>
      <c r="G516" s="61"/>
      <c r="H516" s="61"/>
      <c r="I516" s="62"/>
    </row>
    <row r="517" spans="1:9" ht="15.75">
      <c r="A517" s="16"/>
      <c r="B517" s="17"/>
      <c r="C517" s="30"/>
      <c r="D517" s="60"/>
      <c r="E517" s="61"/>
      <c r="F517" s="61"/>
      <c r="G517" s="61"/>
      <c r="H517" s="61"/>
      <c r="I517" s="62"/>
    </row>
    <row r="518" spans="1:9" ht="15.75">
      <c r="A518" s="16"/>
      <c r="B518" s="17"/>
      <c r="C518" s="30"/>
      <c r="D518" s="60"/>
      <c r="E518" s="61"/>
      <c r="F518" s="61"/>
      <c r="G518" s="61"/>
      <c r="H518" s="61"/>
      <c r="I518" s="62"/>
    </row>
    <row r="519" spans="1:8" ht="15.75">
      <c r="A519" s="18"/>
      <c r="B519" s="17"/>
      <c r="C519" s="30"/>
      <c r="D519" s="60"/>
      <c r="E519" s="61"/>
      <c r="F519" s="61"/>
      <c r="G519" s="61"/>
      <c r="H519" s="61"/>
    </row>
    <row r="520" spans="1:8" ht="15.75">
      <c r="A520" s="18"/>
      <c r="B520" s="17"/>
      <c r="C520" s="30"/>
      <c r="D520" s="60"/>
      <c r="E520" s="61"/>
      <c r="F520" s="61"/>
      <c r="G520" s="61"/>
      <c r="H520" s="61"/>
    </row>
    <row r="521" spans="1:8" ht="15.75">
      <c r="A521" s="18"/>
      <c r="B521" s="17"/>
      <c r="C521" s="30"/>
      <c r="D521" s="60"/>
      <c r="E521" s="61"/>
      <c r="F521" s="61"/>
      <c r="G521" s="61"/>
      <c r="H521" s="61"/>
    </row>
    <row r="522" spans="1:8" ht="15.75">
      <c r="A522" s="18"/>
      <c r="B522" s="17"/>
      <c r="C522" s="30"/>
      <c r="D522" s="60"/>
      <c r="E522" s="61"/>
      <c r="F522" s="61"/>
      <c r="G522" s="61"/>
      <c r="H522" s="61"/>
    </row>
    <row r="523" spans="1:8" ht="15.75">
      <c r="A523" s="18"/>
      <c r="B523" s="17"/>
      <c r="C523" s="30"/>
      <c r="D523" s="60"/>
      <c r="E523" s="61"/>
      <c r="F523" s="61"/>
      <c r="G523" s="61"/>
      <c r="H523" s="61"/>
    </row>
    <row r="524" spans="1:8" ht="15.75">
      <c r="A524" s="18"/>
      <c r="B524" s="17"/>
      <c r="C524" s="30"/>
      <c r="D524" s="60"/>
      <c r="E524" s="61"/>
      <c r="F524" s="61"/>
      <c r="G524" s="61"/>
      <c r="H524" s="61"/>
    </row>
    <row r="525" spans="1:8" ht="15.75">
      <c r="A525" s="18"/>
      <c r="B525" s="17"/>
      <c r="C525" s="30"/>
      <c r="D525" s="60"/>
      <c r="E525" s="61"/>
      <c r="F525" s="61"/>
      <c r="G525" s="61"/>
      <c r="H525" s="61"/>
    </row>
    <row r="526" spans="1:8" ht="15.75">
      <c r="A526" s="18"/>
      <c r="B526" s="17"/>
      <c r="C526" s="30"/>
      <c r="D526" s="60"/>
      <c r="E526" s="61"/>
      <c r="F526" s="61"/>
      <c r="G526" s="61"/>
      <c r="H526" s="61"/>
    </row>
    <row r="527" spans="1:8" ht="15.75">
      <c r="A527" s="18"/>
      <c r="B527" s="17"/>
      <c r="C527" s="30"/>
      <c r="D527" s="60"/>
      <c r="E527" s="61"/>
      <c r="F527" s="61"/>
      <c r="G527" s="61"/>
      <c r="H527" s="61"/>
    </row>
    <row r="528" spans="1:8" ht="15.75">
      <c r="A528" s="18"/>
      <c r="B528" s="17"/>
      <c r="C528" s="30"/>
      <c r="D528" s="60"/>
      <c r="E528" s="61"/>
      <c r="F528" s="61"/>
      <c r="G528" s="61"/>
      <c r="H528" s="61"/>
    </row>
    <row r="529" spans="1:8" ht="15.75">
      <c r="A529" s="18"/>
      <c r="B529" s="17"/>
      <c r="C529" s="30"/>
      <c r="D529" s="60"/>
      <c r="E529" s="61"/>
      <c r="F529" s="61"/>
      <c r="G529" s="61"/>
      <c r="H529" s="61"/>
    </row>
    <row r="530" spans="1:8" ht="15.75">
      <c r="A530" s="18"/>
      <c r="B530" s="17"/>
      <c r="C530" s="30"/>
      <c r="D530" s="60"/>
      <c r="E530" s="61"/>
      <c r="F530" s="61"/>
      <c r="G530" s="61"/>
      <c r="H530" s="61"/>
    </row>
    <row r="531" spans="1:8" ht="15.75">
      <c r="A531" s="18"/>
      <c r="B531" s="17"/>
      <c r="C531" s="30"/>
      <c r="D531" s="60"/>
      <c r="E531" s="61"/>
      <c r="F531" s="61"/>
      <c r="G531" s="61"/>
      <c r="H531" s="61"/>
    </row>
    <row r="532" spans="1:8" ht="15.75">
      <c r="A532" s="18"/>
      <c r="B532" s="17"/>
      <c r="C532" s="30"/>
      <c r="D532" s="60"/>
      <c r="E532" s="61"/>
      <c r="F532" s="61"/>
      <c r="G532" s="61"/>
      <c r="H532" s="61"/>
    </row>
    <row r="533" spans="1:8" ht="15.75">
      <c r="A533" s="18"/>
      <c r="B533" s="17"/>
      <c r="C533" s="30"/>
      <c r="D533" s="60"/>
      <c r="E533" s="61"/>
      <c r="F533" s="61"/>
      <c r="G533" s="61"/>
      <c r="H533" s="61"/>
    </row>
    <row r="534" spans="1:8" ht="15.75">
      <c r="A534" s="18"/>
      <c r="B534" s="17"/>
      <c r="C534" s="30"/>
      <c r="D534" s="60"/>
      <c r="E534" s="61"/>
      <c r="F534" s="61"/>
      <c r="G534" s="61"/>
      <c r="H534" s="61"/>
    </row>
    <row r="535" spans="1:8" ht="15.75">
      <c r="A535" s="18"/>
      <c r="B535" s="17"/>
      <c r="C535" s="30"/>
      <c r="D535" s="60"/>
      <c r="E535" s="61"/>
      <c r="F535" s="61"/>
      <c r="G535" s="61"/>
      <c r="H535" s="61"/>
    </row>
    <row r="536" spans="1:8" ht="15.75">
      <c r="A536" s="18"/>
      <c r="B536" s="17"/>
      <c r="C536" s="30"/>
      <c r="D536" s="60"/>
      <c r="E536" s="61"/>
      <c r="F536" s="61"/>
      <c r="G536" s="61"/>
      <c r="H536" s="61"/>
    </row>
    <row r="537" spans="1:8" ht="15.75">
      <c r="A537" s="18"/>
      <c r="B537" s="17"/>
      <c r="C537" s="30"/>
      <c r="D537" s="60"/>
      <c r="E537" s="61"/>
      <c r="F537" s="61"/>
      <c r="G537" s="61"/>
      <c r="H537" s="61"/>
    </row>
    <row r="538" spans="1:8" ht="15.75">
      <c r="A538" s="18"/>
      <c r="B538" s="17"/>
      <c r="C538" s="30"/>
      <c r="D538" s="60"/>
      <c r="E538" s="61"/>
      <c r="F538" s="61"/>
      <c r="G538" s="61"/>
      <c r="H538" s="61"/>
    </row>
    <row r="539" spans="1:8" ht="15.75">
      <c r="A539" s="18"/>
      <c r="B539" s="17"/>
      <c r="C539" s="30"/>
      <c r="D539" s="60"/>
      <c r="E539" s="61"/>
      <c r="F539" s="61"/>
      <c r="G539" s="61"/>
      <c r="H539" s="61"/>
    </row>
    <row r="540" spans="1:8" ht="15.75">
      <c r="A540" s="18"/>
      <c r="B540" s="17"/>
      <c r="C540" s="30"/>
      <c r="D540" s="60"/>
      <c r="E540" s="61"/>
      <c r="F540" s="61"/>
      <c r="G540" s="61"/>
      <c r="H540" s="61"/>
    </row>
    <row r="541" spans="1:8" ht="15.75">
      <c r="A541" s="18"/>
      <c r="B541" s="17"/>
      <c r="C541" s="30"/>
      <c r="D541" s="60"/>
      <c r="E541" s="61"/>
      <c r="F541" s="61"/>
      <c r="G541" s="61"/>
      <c r="H541" s="61"/>
    </row>
    <row r="542" spans="1:8" ht="15.75">
      <c r="A542" s="18"/>
      <c r="B542" s="17"/>
      <c r="C542" s="30"/>
      <c r="D542" s="60"/>
      <c r="E542" s="61"/>
      <c r="F542" s="61"/>
      <c r="G542" s="61"/>
      <c r="H542" s="61"/>
    </row>
    <row r="543" spans="2:8" ht="15.75">
      <c r="B543" s="63"/>
      <c r="C543" s="30"/>
      <c r="D543" s="60"/>
      <c r="E543" s="61"/>
      <c r="F543" s="61"/>
      <c r="G543" s="61"/>
      <c r="H543" s="61"/>
    </row>
    <row r="544" spans="2:8" ht="15.75">
      <c r="B544" s="63"/>
      <c r="C544" s="30"/>
      <c r="D544" s="60"/>
      <c r="E544" s="61"/>
      <c r="F544" s="61"/>
      <c r="G544" s="61"/>
      <c r="H544" s="61"/>
    </row>
    <row r="545" spans="2:8" ht="15.75">
      <c r="B545" s="63"/>
      <c r="C545" s="30"/>
      <c r="D545" s="60"/>
      <c r="E545" s="61"/>
      <c r="F545" s="61"/>
      <c r="G545" s="61"/>
      <c r="H545" s="61"/>
    </row>
    <row r="546" spans="2:8" ht="15.75">
      <c r="B546" s="63"/>
      <c r="C546" s="30"/>
      <c r="D546" s="60"/>
      <c r="E546" s="61"/>
      <c r="F546" s="61"/>
      <c r="G546" s="61"/>
      <c r="H546" s="61"/>
    </row>
    <row r="547" spans="2:8" ht="15.75">
      <c r="B547" s="63"/>
      <c r="C547" s="30"/>
      <c r="D547" s="60"/>
      <c r="E547" s="61"/>
      <c r="F547" s="61"/>
      <c r="G547" s="61"/>
      <c r="H547" s="61"/>
    </row>
    <row r="548" spans="2:8" ht="15.75">
      <c r="B548" s="63"/>
      <c r="C548" s="30"/>
      <c r="D548" s="60"/>
      <c r="E548" s="61"/>
      <c r="F548" s="61"/>
      <c r="G548" s="61"/>
      <c r="H548" s="61"/>
    </row>
    <row r="549" spans="2:8" ht="15.75">
      <c r="B549" s="63"/>
      <c r="C549" s="30"/>
      <c r="D549" s="60"/>
      <c r="E549" s="61"/>
      <c r="F549" s="61"/>
      <c r="G549" s="61"/>
      <c r="H549" s="61"/>
    </row>
    <row r="550" spans="2:8" ht="15.75">
      <c r="B550" s="63"/>
      <c r="C550" s="30"/>
      <c r="D550" s="60"/>
      <c r="E550" s="61"/>
      <c r="F550" s="61"/>
      <c r="G550" s="61"/>
      <c r="H550" s="61"/>
    </row>
    <row r="551" spans="2:8" ht="15.75">
      <c r="B551" s="63"/>
      <c r="C551" s="30"/>
      <c r="D551" s="60"/>
      <c r="E551" s="61"/>
      <c r="F551" s="61"/>
      <c r="G551" s="61"/>
      <c r="H551" s="61"/>
    </row>
    <row r="552" spans="2:8" ht="15.75">
      <c r="B552" s="63"/>
      <c r="C552" s="30"/>
      <c r="D552" s="60"/>
      <c r="E552" s="61"/>
      <c r="F552" s="61"/>
      <c r="G552" s="61"/>
      <c r="H552" s="61"/>
    </row>
    <row r="553" spans="2:8" ht="15.75">
      <c r="B553" s="63"/>
      <c r="C553" s="30"/>
      <c r="D553" s="60"/>
      <c r="E553" s="61"/>
      <c r="F553" s="61"/>
      <c r="G553" s="61"/>
      <c r="H553" s="61"/>
    </row>
    <row r="554" spans="2:8" ht="15.75">
      <c r="B554" s="63"/>
      <c r="C554" s="30"/>
      <c r="D554" s="60"/>
      <c r="E554" s="61"/>
      <c r="F554" s="61"/>
      <c r="G554" s="61"/>
      <c r="H554" s="61"/>
    </row>
    <row r="555" spans="2:8" ht="15.75">
      <c r="B555" s="63"/>
      <c r="C555" s="30"/>
      <c r="D555" s="60"/>
      <c r="E555" s="61"/>
      <c r="F555" s="61"/>
      <c r="G555" s="61"/>
      <c r="H555" s="61"/>
    </row>
    <row r="556" spans="2:8" ht="15.75">
      <c r="B556" s="63"/>
      <c r="C556" s="30"/>
      <c r="D556" s="60"/>
      <c r="E556" s="61"/>
      <c r="F556" s="61"/>
      <c r="G556" s="61"/>
      <c r="H556" s="61"/>
    </row>
    <row r="557" spans="2:8" ht="15.75">
      <c r="B557" s="63"/>
      <c r="C557" s="30"/>
      <c r="D557" s="60"/>
      <c r="E557" s="61"/>
      <c r="F557" s="61"/>
      <c r="G557" s="61"/>
      <c r="H557" s="61"/>
    </row>
    <row r="558" spans="2:8" ht="15.75">
      <c r="B558" s="63"/>
      <c r="C558" s="30"/>
      <c r="D558" s="60"/>
      <c r="E558" s="61"/>
      <c r="F558" s="61"/>
      <c r="G558" s="61"/>
      <c r="H558" s="61"/>
    </row>
    <row r="559" spans="2:8" ht="15.75">
      <c r="B559" s="63"/>
      <c r="C559" s="30"/>
      <c r="D559" s="60"/>
      <c r="E559" s="61"/>
      <c r="F559" s="61"/>
      <c r="G559" s="61"/>
      <c r="H559" s="61"/>
    </row>
    <row r="560" spans="2:8" ht="15.75">
      <c r="B560" s="63"/>
      <c r="C560" s="30"/>
      <c r="D560" s="60"/>
      <c r="E560" s="61"/>
      <c r="F560" s="61"/>
      <c r="G560" s="61"/>
      <c r="H560" s="61"/>
    </row>
    <row r="561" spans="2:8" ht="15.75">
      <c r="B561" s="63"/>
      <c r="C561" s="30"/>
      <c r="D561" s="60"/>
      <c r="E561" s="61"/>
      <c r="F561" s="61"/>
      <c r="G561" s="61"/>
      <c r="H561" s="61"/>
    </row>
    <row r="562" spans="2:8" ht="15.75">
      <c r="B562" s="63"/>
      <c r="C562" s="30"/>
      <c r="D562" s="60"/>
      <c r="E562" s="61"/>
      <c r="F562" s="61"/>
      <c r="G562" s="61"/>
      <c r="H562" s="61"/>
    </row>
    <row r="563" spans="2:8" ht="15.75">
      <c r="B563" s="63"/>
      <c r="C563" s="30"/>
      <c r="D563" s="60"/>
      <c r="E563" s="61"/>
      <c r="F563" s="61"/>
      <c r="G563" s="61"/>
      <c r="H563" s="61"/>
    </row>
    <row r="564" spans="2:8" ht="15.75">
      <c r="B564" s="63"/>
      <c r="C564" s="30"/>
      <c r="D564" s="60"/>
      <c r="E564" s="61"/>
      <c r="F564" s="61"/>
      <c r="G564" s="61"/>
      <c r="H564" s="61"/>
    </row>
    <row r="565" spans="2:8" ht="15.75">
      <c r="B565" s="63"/>
      <c r="C565" s="30"/>
      <c r="D565" s="60"/>
      <c r="E565" s="61"/>
      <c r="F565" s="61"/>
      <c r="G565" s="61"/>
      <c r="H565" s="61"/>
    </row>
    <row r="566" spans="2:8" ht="15.75">
      <c r="B566" s="63"/>
      <c r="C566" s="30"/>
      <c r="D566" s="60"/>
      <c r="E566" s="61"/>
      <c r="F566" s="61"/>
      <c r="G566" s="61"/>
      <c r="H566" s="61"/>
    </row>
    <row r="567" spans="2:8" ht="15.75">
      <c r="B567" s="63"/>
      <c r="C567" s="30"/>
      <c r="D567" s="60"/>
      <c r="E567" s="61"/>
      <c r="F567" s="61"/>
      <c r="G567" s="61"/>
      <c r="H567" s="61"/>
    </row>
    <row r="568" spans="2:8" ht="15.75">
      <c r="B568" s="63"/>
      <c r="C568" s="30"/>
      <c r="D568" s="60"/>
      <c r="E568" s="61"/>
      <c r="F568" s="61"/>
      <c r="G568" s="61"/>
      <c r="H568" s="61"/>
    </row>
    <row r="569" spans="2:8" ht="15.75">
      <c r="B569" s="63"/>
      <c r="C569" s="30"/>
      <c r="D569" s="60"/>
      <c r="E569" s="61"/>
      <c r="F569" s="61"/>
      <c r="G569" s="61"/>
      <c r="H569" s="61"/>
    </row>
    <row r="570" spans="2:8" ht="15.75">
      <c r="B570" s="63"/>
      <c r="C570" s="30"/>
      <c r="D570" s="60"/>
      <c r="E570" s="61"/>
      <c r="F570" s="61"/>
      <c r="G570" s="61"/>
      <c r="H570" s="61"/>
    </row>
    <row r="571" spans="2:8" ht="15.75">
      <c r="B571" s="63"/>
      <c r="C571" s="30"/>
      <c r="D571" s="60"/>
      <c r="E571" s="61"/>
      <c r="F571" s="61"/>
      <c r="G571" s="61"/>
      <c r="H571" s="61"/>
    </row>
    <row r="572" spans="2:8" ht="15.75">
      <c r="B572" s="63"/>
      <c r="C572" s="30"/>
      <c r="D572" s="60"/>
      <c r="E572" s="61"/>
      <c r="F572" s="61"/>
      <c r="G572" s="61"/>
      <c r="H572" s="61"/>
    </row>
    <row r="573" spans="2:8" ht="15.75">
      <c r="B573" s="63"/>
      <c r="C573" s="30"/>
      <c r="D573" s="60"/>
      <c r="E573" s="61"/>
      <c r="F573" s="61"/>
      <c r="G573" s="61"/>
      <c r="H573" s="61"/>
    </row>
    <row r="574" spans="2:8" ht="15.75">
      <c r="B574" s="63"/>
      <c r="C574" s="30"/>
      <c r="D574" s="60"/>
      <c r="E574" s="61"/>
      <c r="F574" s="61"/>
      <c r="G574" s="61"/>
      <c r="H574" s="61"/>
    </row>
    <row r="575" spans="2:8" ht="15.75">
      <c r="B575" s="63"/>
      <c r="C575" s="30"/>
      <c r="D575" s="60"/>
      <c r="E575" s="61"/>
      <c r="F575" s="61"/>
      <c r="G575" s="61"/>
      <c r="H575" s="61"/>
    </row>
    <row r="576" spans="2:8" ht="15.75">
      <c r="B576" s="63"/>
      <c r="C576" s="30"/>
      <c r="D576" s="60"/>
      <c r="E576" s="61"/>
      <c r="F576" s="61"/>
      <c r="G576" s="61"/>
      <c r="H576" s="61"/>
    </row>
    <row r="577" spans="2:8" ht="15.75">
      <c r="B577" s="63"/>
      <c r="C577" s="30"/>
      <c r="D577" s="60"/>
      <c r="E577" s="61"/>
      <c r="F577" s="61"/>
      <c r="G577" s="61"/>
      <c r="H577" s="61"/>
    </row>
    <row r="578" spans="2:8" ht="15.75">
      <c r="B578" s="63"/>
      <c r="C578" s="30"/>
      <c r="D578" s="60"/>
      <c r="E578" s="61"/>
      <c r="F578" s="61"/>
      <c r="G578" s="61"/>
      <c r="H578" s="61"/>
    </row>
    <row r="579" spans="2:8" ht="15.75">
      <c r="B579" s="63"/>
      <c r="C579" s="30"/>
      <c r="D579" s="60"/>
      <c r="E579" s="61"/>
      <c r="F579" s="61"/>
      <c r="G579" s="61"/>
      <c r="H579" s="61"/>
    </row>
    <row r="580" spans="2:8" ht="15.75">
      <c r="B580" s="63"/>
      <c r="C580" s="30"/>
      <c r="D580" s="60"/>
      <c r="E580" s="61"/>
      <c r="F580" s="61"/>
      <c r="G580" s="61"/>
      <c r="H580" s="61"/>
    </row>
    <row r="581" spans="2:8" ht="15.75">
      <c r="B581" s="63"/>
      <c r="C581" s="30"/>
      <c r="D581" s="60"/>
      <c r="E581" s="61"/>
      <c r="F581" s="61"/>
      <c r="G581" s="61"/>
      <c r="H581" s="61"/>
    </row>
    <row r="582" spans="2:8" ht="15.75">
      <c r="B582" s="63"/>
      <c r="C582" s="30"/>
      <c r="D582" s="60"/>
      <c r="E582" s="61"/>
      <c r="F582" s="61"/>
      <c r="G582" s="61"/>
      <c r="H582" s="61"/>
    </row>
    <row r="583" spans="2:8" ht="15.75">
      <c r="B583" s="63"/>
      <c r="C583" s="30"/>
      <c r="D583" s="60"/>
      <c r="E583" s="61"/>
      <c r="F583" s="61"/>
      <c r="G583" s="61"/>
      <c r="H583" s="61"/>
    </row>
    <row r="584" spans="2:8" ht="15.75">
      <c r="B584" s="63"/>
      <c r="C584" s="30"/>
      <c r="D584" s="60"/>
      <c r="E584" s="61"/>
      <c r="F584" s="61"/>
      <c r="G584" s="61"/>
      <c r="H584" s="61"/>
    </row>
    <row r="585" spans="2:8" ht="15.75">
      <c r="B585" s="63"/>
      <c r="C585" s="30"/>
      <c r="D585" s="60"/>
      <c r="E585" s="61"/>
      <c r="F585" s="61"/>
      <c r="G585" s="61"/>
      <c r="H585" s="61"/>
    </row>
    <row r="586" spans="2:8" ht="15.75">
      <c r="B586" s="63"/>
      <c r="C586" s="30"/>
      <c r="D586" s="60"/>
      <c r="E586" s="61"/>
      <c r="F586" s="61"/>
      <c r="G586" s="61"/>
      <c r="H586" s="61"/>
    </row>
    <row r="587" spans="2:8" ht="15.75">
      <c r="B587" s="63"/>
      <c r="C587" s="30"/>
      <c r="D587" s="60"/>
      <c r="E587" s="61"/>
      <c r="F587" s="61"/>
      <c r="G587" s="61"/>
      <c r="H587" s="61"/>
    </row>
    <row r="588" spans="2:8" ht="15.75">
      <c r="B588" s="63"/>
      <c r="C588" s="30"/>
      <c r="D588" s="60"/>
      <c r="E588" s="61"/>
      <c r="F588" s="61"/>
      <c r="G588" s="61"/>
      <c r="H588" s="61"/>
    </row>
    <row r="589" spans="2:8" ht="15.75">
      <c r="B589" s="63"/>
      <c r="C589" s="30"/>
      <c r="D589" s="60"/>
      <c r="E589" s="61"/>
      <c r="F589" s="61"/>
      <c r="G589" s="61"/>
      <c r="H589" s="61"/>
    </row>
    <row r="590" spans="2:8" ht="15.75">
      <c r="B590" s="63"/>
      <c r="C590" s="30"/>
      <c r="D590" s="60"/>
      <c r="E590" s="61"/>
      <c r="F590" s="61"/>
      <c r="G590" s="61"/>
      <c r="H590" s="61"/>
    </row>
    <row r="591" spans="2:8" ht="15.75">
      <c r="B591" s="63"/>
      <c r="C591" s="30"/>
      <c r="D591" s="60"/>
      <c r="E591" s="61"/>
      <c r="F591" s="61"/>
      <c r="G591" s="61"/>
      <c r="H591" s="61"/>
    </row>
    <row r="592" spans="2:8" ht="15.75">
      <c r="B592" s="63"/>
      <c r="C592" s="30"/>
      <c r="D592" s="60"/>
      <c r="E592" s="61"/>
      <c r="F592" s="61"/>
      <c r="G592" s="61"/>
      <c r="H592" s="61"/>
    </row>
    <row r="593" spans="2:8" ht="15.75">
      <c r="B593" s="63"/>
      <c r="C593" s="30"/>
      <c r="D593" s="60"/>
      <c r="E593" s="61"/>
      <c r="F593" s="61"/>
      <c r="G593" s="61"/>
      <c r="H593" s="61"/>
    </row>
    <row r="594" spans="2:8" ht="15.75">
      <c r="B594" s="63"/>
      <c r="C594" s="30"/>
      <c r="D594" s="64"/>
      <c r="E594" s="61"/>
      <c r="F594" s="61"/>
      <c r="G594" s="61"/>
      <c r="H594" s="61"/>
    </row>
    <row r="595" spans="2:8" ht="15.75">
      <c r="B595" s="63"/>
      <c r="C595" s="30"/>
      <c r="D595" s="64"/>
      <c r="E595" s="61"/>
      <c r="F595" s="61"/>
      <c r="G595" s="61"/>
      <c r="H595" s="61"/>
    </row>
    <row r="596" spans="2:8" ht="15.75">
      <c r="B596" s="63"/>
      <c r="C596" s="30"/>
      <c r="D596" s="64"/>
      <c r="E596" s="61"/>
      <c r="F596" s="61"/>
      <c r="G596" s="61"/>
      <c r="H596" s="61"/>
    </row>
    <row r="597" spans="2:8" ht="15.75">
      <c r="B597" s="63"/>
      <c r="C597" s="30"/>
      <c r="D597" s="64"/>
      <c r="E597" s="61"/>
      <c r="F597" s="61"/>
      <c r="G597" s="61"/>
      <c r="H597" s="61"/>
    </row>
    <row r="598" spans="2:8" ht="15.75">
      <c r="B598" s="63"/>
      <c r="C598" s="30"/>
      <c r="D598" s="64"/>
      <c r="E598" s="61"/>
      <c r="F598" s="61"/>
      <c r="G598" s="61"/>
      <c r="H598" s="61"/>
    </row>
    <row r="599" spans="2:8" ht="15.75">
      <c r="B599" s="63"/>
      <c r="C599" s="30"/>
      <c r="D599" s="64"/>
      <c r="E599" s="61"/>
      <c r="F599" s="61"/>
      <c r="G599" s="61"/>
      <c r="H599" s="61"/>
    </row>
    <row r="600" spans="2:8" ht="15.75">
      <c r="B600" s="63"/>
      <c r="C600" s="30"/>
      <c r="D600" s="64"/>
      <c r="E600" s="61"/>
      <c r="F600" s="61"/>
      <c r="G600" s="61"/>
      <c r="H600" s="61"/>
    </row>
    <row r="601" spans="2:8" ht="15.75">
      <c r="B601" s="63"/>
      <c r="C601" s="30"/>
      <c r="D601" s="64"/>
      <c r="E601" s="61"/>
      <c r="F601" s="61"/>
      <c r="G601" s="61"/>
      <c r="H601" s="61"/>
    </row>
    <row r="602" spans="2:8" ht="15.75">
      <c r="B602" s="63"/>
      <c r="C602" s="30"/>
      <c r="D602" s="64"/>
      <c r="E602" s="61"/>
      <c r="F602" s="61"/>
      <c r="G602" s="61"/>
      <c r="H602" s="61"/>
    </row>
    <row r="603" spans="2:8" ht="15.75">
      <c r="B603" s="63"/>
      <c r="C603" s="30"/>
      <c r="D603" s="64"/>
      <c r="E603" s="61"/>
      <c r="F603" s="61"/>
      <c r="G603" s="61"/>
      <c r="H603" s="61"/>
    </row>
    <row r="604" spans="2:8" ht="15.75">
      <c r="B604" s="63"/>
      <c r="C604" s="30"/>
      <c r="D604" s="64"/>
      <c r="E604" s="61"/>
      <c r="F604" s="61"/>
      <c r="G604" s="61"/>
      <c r="H604" s="61"/>
    </row>
    <row r="605" spans="2:8" ht="15.75">
      <c r="B605" s="63"/>
      <c r="C605" s="30"/>
      <c r="D605" s="64"/>
      <c r="E605" s="61"/>
      <c r="F605" s="61"/>
      <c r="G605" s="61"/>
      <c r="H605" s="61"/>
    </row>
    <row r="606" spans="2:8" ht="15.75">
      <c r="B606" s="63"/>
      <c r="C606" s="30"/>
      <c r="D606" s="64"/>
      <c r="E606" s="61"/>
      <c r="F606" s="61"/>
      <c r="G606" s="61"/>
      <c r="H606" s="61"/>
    </row>
    <row r="607" spans="2:8" ht="15.75">
      <c r="B607" s="63"/>
      <c r="C607" s="30"/>
      <c r="D607" s="64"/>
      <c r="E607" s="61"/>
      <c r="F607" s="61"/>
      <c r="G607" s="61"/>
      <c r="H607" s="61"/>
    </row>
    <row r="608" spans="2:8" ht="15.75">
      <c r="B608" s="63"/>
      <c r="C608" s="30"/>
      <c r="D608" s="64"/>
      <c r="E608" s="61"/>
      <c r="F608" s="61"/>
      <c r="G608" s="61"/>
      <c r="H608" s="61"/>
    </row>
    <row r="609" spans="2:8" ht="15.75">
      <c r="B609" s="63"/>
      <c r="C609" s="30"/>
      <c r="D609" s="64"/>
      <c r="E609" s="61"/>
      <c r="F609" s="61"/>
      <c r="G609" s="61"/>
      <c r="H609" s="61"/>
    </row>
    <row r="610" spans="2:8" ht="15.75">
      <c r="B610" s="63"/>
      <c r="C610" s="30"/>
      <c r="D610" s="64"/>
      <c r="E610" s="61"/>
      <c r="F610" s="61"/>
      <c r="G610" s="61"/>
      <c r="H610" s="61"/>
    </row>
    <row r="611" spans="2:8" ht="15.75">
      <c r="B611" s="63"/>
      <c r="C611" s="30"/>
      <c r="D611" s="64"/>
      <c r="E611" s="61"/>
      <c r="F611" s="61"/>
      <c r="G611" s="61"/>
      <c r="H611" s="61"/>
    </row>
    <row r="612" spans="2:8" ht="15.75">
      <c r="B612" s="63"/>
      <c r="C612" s="30"/>
      <c r="D612" s="64"/>
      <c r="E612" s="61"/>
      <c r="F612" s="61"/>
      <c r="G612" s="61"/>
      <c r="H612" s="61"/>
    </row>
    <row r="613" spans="2:8" ht="15.75">
      <c r="B613" s="63"/>
      <c r="C613" s="30"/>
      <c r="D613" s="64"/>
      <c r="E613" s="61"/>
      <c r="F613" s="61"/>
      <c r="G613" s="61"/>
      <c r="H613" s="61"/>
    </row>
    <row r="614" spans="2:8" ht="15.75">
      <c r="B614" s="63"/>
      <c r="C614" s="30"/>
      <c r="D614" s="64"/>
      <c r="E614" s="61"/>
      <c r="F614" s="61"/>
      <c r="G614" s="61"/>
      <c r="H614" s="61"/>
    </row>
    <row r="615" spans="2:8" ht="15.75">
      <c r="B615" s="63"/>
      <c r="C615" s="30"/>
      <c r="D615" s="64"/>
      <c r="E615" s="61"/>
      <c r="F615" s="61"/>
      <c r="G615" s="61"/>
      <c r="H615" s="61"/>
    </row>
    <row r="616" spans="2:8" ht="15.75">
      <c r="B616" s="63"/>
      <c r="C616" s="30"/>
      <c r="D616" s="64"/>
      <c r="E616" s="61"/>
      <c r="F616" s="61"/>
      <c r="G616" s="61"/>
      <c r="H616" s="61"/>
    </row>
    <row r="617" spans="2:8" ht="15.75">
      <c r="B617" s="63"/>
      <c r="C617" s="30"/>
      <c r="D617" s="64"/>
      <c r="E617" s="61"/>
      <c r="F617" s="61"/>
      <c r="G617" s="61"/>
      <c r="H617" s="61"/>
    </row>
    <row r="618" spans="2:8" ht="15.75">
      <c r="B618" s="63"/>
      <c r="C618" s="30"/>
      <c r="D618" s="64"/>
      <c r="E618" s="61"/>
      <c r="F618" s="61"/>
      <c r="G618" s="61"/>
      <c r="H618" s="61"/>
    </row>
    <row r="619" spans="2:8" ht="15.75">
      <c r="B619" s="63"/>
      <c r="C619" s="30"/>
      <c r="D619" s="64"/>
      <c r="E619" s="61"/>
      <c r="F619" s="61"/>
      <c r="G619" s="61"/>
      <c r="H619" s="61"/>
    </row>
    <row r="620" spans="2:8" ht="15.75">
      <c r="B620" s="63"/>
      <c r="C620" s="30"/>
      <c r="D620" s="64"/>
      <c r="E620" s="61"/>
      <c r="F620" s="61"/>
      <c r="G620" s="61"/>
      <c r="H620" s="61"/>
    </row>
    <row r="621" spans="2:8" ht="15.75">
      <c r="B621" s="63"/>
      <c r="C621" s="30"/>
      <c r="D621" s="64"/>
      <c r="E621" s="61"/>
      <c r="F621" s="61"/>
      <c r="G621" s="61"/>
      <c r="H621" s="61"/>
    </row>
    <row r="622" spans="2:8" ht="15.75">
      <c r="B622" s="63"/>
      <c r="C622" s="30"/>
      <c r="D622" s="64"/>
      <c r="E622" s="61"/>
      <c r="F622" s="61"/>
      <c r="G622" s="61"/>
      <c r="H622" s="61"/>
    </row>
    <row r="623" spans="2:8" ht="15.75">
      <c r="B623" s="63"/>
      <c r="C623" s="30"/>
      <c r="D623" s="64"/>
      <c r="E623" s="61"/>
      <c r="F623" s="61"/>
      <c r="G623" s="61"/>
      <c r="H623" s="61"/>
    </row>
    <row r="624" spans="2:8" ht="15.75">
      <c r="B624" s="63"/>
      <c r="C624" s="30"/>
      <c r="D624" s="64"/>
      <c r="E624" s="61"/>
      <c r="F624" s="61"/>
      <c r="G624" s="61"/>
      <c r="H624" s="61"/>
    </row>
    <row r="625" spans="2:8" ht="15.75">
      <c r="B625" s="63"/>
      <c r="C625" s="30"/>
      <c r="D625" s="64"/>
      <c r="E625" s="61"/>
      <c r="F625" s="61"/>
      <c r="G625" s="61"/>
      <c r="H625" s="61"/>
    </row>
    <row r="626" spans="2:8" ht="15.75">
      <c r="B626" s="63"/>
      <c r="C626" s="30"/>
      <c r="D626" s="64"/>
      <c r="E626" s="61"/>
      <c r="F626" s="61"/>
      <c r="G626" s="61"/>
      <c r="H626" s="61"/>
    </row>
    <row r="627" spans="2:8" ht="15.75">
      <c r="B627" s="63"/>
      <c r="C627" s="30"/>
      <c r="D627" s="64"/>
      <c r="E627" s="61"/>
      <c r="F627" s="61"/>
      <c r="G627" s="61"/>
      <c r="H627" s="61"/>
    </row>
    <row r="628" spans="2:8" ht="15.75">
      <c r="B628" s="63"/>
      <c r="C628" s="30"/>
      <c r="D628" s="64"/>
      <c r="E628" s="61"/>
      <c r="F628" s="61"/>
      <c r="G628" s="61"/>
      <c r="H628" s="61"/>
    </row>
    <row r="629" spans="2:8" ht="15.75">
      <c r="B629" s="63"/>
      <c r="C629" s="30"/>
      <c r="D629" s="64"/>
      <c r="E629" s="61"/>
      <c r="F629" s="61"/>
      <c r="G629" s="61"/>
      <c r="H629" s="61"/>
    </row>
    <row r="630" spans="2:8" ht="15.75">
      <c r="B630" s="63"/>
      <c r="C630" s="30"/>
      <c r="D630" s="64"/>
      <c r="E630" s="61"/>
      <c r="F630" s="61"/>
      <c r="G630" s="61"/>
      <c r="H630" s="61"/>
    </row>
    <row r="631" spans="2:8" ht="15.75">
      <c r="B631" s="63"/>
      <c r="C631" s="30"/>
      <c r="D631" s="64"/>
      <c r="E631" s="61"/>
      <c r="F631" s="61"/>
      <c r="G631" s="61"/>
      <c r="H631" s="61"/>
    </row>
    <row r="632" spans="2:8" ht="15.75">
      <c r="B632" s="63"/>
      <c r="C632" s="30"/>
      <c r="D632" s="64"/>
      <c r="E632" s="61"/>
      <c r="F632" s="61"/>
      <c r="G632" s="61"/>
      <c r="H632" s="61"/>
    </row>
    <row r="633" spans="2:8" ht="15.75">
      <c r="B633" s="63"/>
      <c r="C633" s="30"/>
      <c r="D633" s="64"/>
      <c r="E633" s="61"/>
      <c r="F633" s="61"/>
      <c r="G633" s="61"/>
      <c r="H633" s="61"/>
    </row>
    <row r="634" spans="2:8" ht="15.75">
      <c r="B634" s="63"/>
      <c r="C634" s="30"/>
      <c r="D634" s="64"/>
      <c r="E634" s="61"/>
      <c r="F634" s="61"/>
      <c r="G634" s="61"/>
      <c r="H634" s="61"/>
    </row>
    <row r="635" spans="2:8" ht="15.75">
      <c r="B635" s="63"/>
      <c r="C635" s="30"/>
      <c r="D635" s="64"/>
      <c r="E635" s="61"/>
      <c r="F635" s="61"/>
      <c r="G635" s="61"/>
      <c r="H635" s="61"/>
    </row>
    <row r="636" spans="2:8" ht="15.75">
      <c r="B636" s="63"/>
      <c r="C636" s="30"/>
      <c r="D636" s="64"/>
      <c r="E636" s="61"/>
      <c r="F636" s="61"/>
      <c r="G636" s="61"/>
      <c r="H636" s="61"/>
    </row>
    <row r="637" spans="2:8" ht="15.75">
      <c r="B637" s="63"/>
      <c r="C637" s="30"/>
      <c r="D637" s="64"/>
      <c r="E637" s="61"/>
      <c r="F637" s="61"/>
      <c r="G637" s="61"/>
      <c r="H637" s="61"/>
    </row>
    <row r="638" spans="2:8" ht="15.75">
      <c r="B638" s="63"/>
      <c r="C638" s="30"/>
      <c r="D638" s="64"/>
      <c r="E638" s="61"/>
      <c r="F638" s="61"/>
      <c r="G638" s="61"/>
      <c r="H638" s="61"/>
    </row>
    <row r="639" spans="2:8" ht="15.75">
      <c r="B639" s="63"/>
      <c r="C639" s="30"/>
      <c r="D639" s="64"/>
      <c r="E639" s="61"/>
      <c r="F639" s="61"/>
      <c r="G639" s="61"/>
      <c r="H639" s="61"/>
    </row>
    <row r="640" spans="2:8" ht="15.75">
      <c r="B640" s="63"/>
      <c r="C640" s="30"/>
      <c r="D640" s="64"/>
      <c r="E640" s="61"/>
      <c r="F640" s="61"/>
      <c r="G640" s="61"/>
      <c r="H640" s="61"/>
    </row>
    <row r="641" spans="2:8" ht="15.75">
      <c r="B641" s="63"/>
      <c r="C641" s="30"/>
      <c r="D641" s="64"/>
      <c r="E641" s="61"/>
      <c r="F641" s="61"/>
      <c r="G641" s="61"/>
      <c r="H641" s="61"/>
    </row>
    <row r="642" spans="2:8" ht="15.75">
      <c r="B642" s="63"/>
      <c r="C642" s="30"/>
      <c r="D642" s="64"/>
      <c r="E642" s="61"/>
      <c r="F642" s="61"/>
      <c r="G642" s="61"/>
      <c r="H642" s="61"/>
    </row>
    <row r="643" spans="2:8" ht="15.75">
      <c r="B643" s="63"/>
      <c r="C643" s="30"/>
      <c r="D643" s="64"/>
      <c r="E643" s="61"/>
      <c r="F643" s="61"/>
      <c r="G643" s="61"/>
      <c r="H643" s="61"/>
    </row>
    <row r="644" spans="2:8" ht="15.75">
      <c r="B644" s="63"/>
      <c r="C644" s="30"/>
      <c r="D644" s="64"/>
      <c r="E644" s="61"/>
      <c r="F644" s="61"/>
      <c r="G644" s="61"/>
      <c r="H644" s="61"/>
    </row>
    <row r="645" spans="2:8" ht="15.75">
      <c r="B645" s="63"/>
      <c r="C645" s="30"/>
      <c r="D645" s="64"/>
      <c r="E645" s="61"/>
      <c r="F645" s="61"/>
      <c r="G645" s="61"/>
      <c r="H645" s="61"/>
    </row>
    <row r="646" spans="2:8" ht="15.75">
      <c r="B646" s="63"/>
      <c r="C646" s="30"/>
      <c r="D646" s="64"/>
      <c r="E646" s="61"/>
      <c r="F646" s="61"/>
      <c r="G646" s="61"/>
      <c r="H646" s="61"/>
    </row>
    <row r="647" spans="2:8" ht="15.75">
      <c r="B647" s="63"/>
      <c r="C647" s="30"/>
      <c r="D647" s="64"/>
      <c r="E647" s="61"/>
      <c r="F647" s="61"/>
      <c r="G647" s="61"/>
      <c r="H647" s="61"/>
    </row>
    <row r="648" spans="2:8" ht="15.75">
      <c r="B648" s="63"/>
      <c r="C648" s="30"/>
      <c r="D648" s="64"/>
      <c r="E648" s="61"/>
      <c r="F648" s="61"/>
      <c r="G648" s="61"/>
      <c r="H648" s="61"/>
    </row>
    <row r="649" spans="2:8" ht="15.75">
      <c r="B649" s="63"/>
      <c r="C649" s="30"/>
      <c r="D649" s="64"/>
      <c r="E649" s="61"/>
      <c r="F649" s="61"/>
      <c r="G649" s="61"/>
      <c r="H649" s="61"/>
    </row>
    <row r="650" spans="2:8" ht="15.75">
      <c r="B650" s="63"/>
      <c r="C650" s="30"/>
      <c r="D650" s="64"/>
      <c r="E650" s="61"/>
      <c r="F650" s="61"/>
      <c r="G650" s="61"/>
      <c r="H650" s="61"/>
    </row>
    <row r="651" spans="2:8" ht="15.75">
      <c r="B651" s="63"/>
      <c r="C651" s="30"/>
      <c r="D651" s="64"/>
      <c r="E651" s="61"/>
      <c r="F651" s="61"/>
      <c r="G651" s="61"/>
      <c r="H651" s="61"/>
    </row>
    <row r="652" spans="2:8" ht="15.75">
      <c r="B652" s="63"/>
      <c r="C652" s="30"/>
      <c r="D652" s="64"/>
      <c r="E652" s="61"/>
      <c r="F652" s="61"/>
      <c r="G652" s="61"/>
      <c r="H652" s="61"/>
    </row>
    <row r="653" spans="2:8" ht="15.75">
      <c r="B653" s="63"/>
      <c r="C653" s="30"/>
      <c r="D653" s="64"/>
      <c r="E653" s="61"/>
      <c r="F653" s="61"/>
      <c r="G653" s="61"/>
      <c r="H653" s="61"/>
    </row>
    <row r="654" spans="2:8" ht="15.75">
      <c r="B654" s="63"/>
      <c r="C654" s="30"/>
      <c r="D654" s="64"/>
      <c r="E654" s="61"/>
      <c r="F654" s="61"/>
      <c r="G654" s="61"/>
      <c r="H654" s="61"/>
    </row>
    <row r="655" spans="2:8" ht="15.75">
      <c r="B655" s="63"/>
      <c r="C655" s="30"/>
      <c r="D655" s="64"/>
      <c r="E655" s="61"/>
      <c r="F655" s="61"/>
      <c r="G655" s="61"/>
      <c r="H655" s="61"/>
    </row>
    <row r="656" spans="2:8" ht="15.75">
      <c r="B656" s="63"/>
      <c r="C656" s="30"/>
      <c r="D656" s="64"/>
      <c r="E656" s="61"/>
      <c r="F656" s="61"/>
      <c r="G656" s="61"/>
      <c r="H656" s="61"/>
    </row>
    <row r="657" spans="2:8" ht="15.75">
      <c r="B657" s="63"/>
      <c r="C657" s="30"/>
      <c r="D657" s="64"/>
      <c r="E657" s="61"/>
      <c r="F657" s="61"/>
      <c r="G657" s="61"/>
      <c r="H657" s="61"/>
    </row>
    <row r="658" spans="2:8" ht="15.75">
      <c r="B658" s="63"/>
      <c r="C658" s="30"/>
      <c r="D658" s="64"/>
      <c r="E658" s="61"/>
      <c r="F658" s="61"/>
      <c r="G658" s="61"/>
      <c r="H658" s="61"/>
    </row>
    <row r="659" spans="2:8" ht="15.75">
      <c r="B659" s="63"/>
      <c r="C659" s="30"/>
      <c r="D659" s="64"/>
      <c r="E659" s="61"/>
      <c r="F659" s="61"/>
      <c r="G659" s="61"/>
      <c r="H659" s="61"/>
    </row>
    <row r="660" spans="2:8" ht="15.75">
      <c r="B660" s="63"/>
      <c r="C660" s="30"/>
      <c r="D660" s="64"/>
      <c r="E660" s="61"/>
      <c r="F660" s="61"/>
      <c r="G660" s="61"/>
      <c r="H660" s="61"/>
    </row>
    <row r="661" spans="2:8" ht="15.75">
      <c r="B661" s="63"/>
      <c r="C661" s="30"/>
      <c r="D661" s="64"/>
      <c r="E661" s="61"/>
      <c r="F661" s="61"/>
      <c r="G661" s="61"/>
      <c r="H661" s="61"/>
    </row>
    <row r="662" spans="2:8" ht="15.75">
      <c r="B662" s="63"/>
      <c r="C662" s="30"/>
      <c r="D662" s="64"/>
      <c r="E662" s="61"/>
      <c r="F662" s="61"/>
      <c r="G662" s="61"/>
      <c r="H662" s="61"/>
    </row>
    <row r="663" spans="2:8" ht="15.75">
      <c r="B663" s="63"/>
      <c r="C663" s="30"/>
      <c r="D663" s="64"/>
      <c r="E663" s="61"/>
      <c r="F663" s="61"/>
      <c r="G663" s="61"/>
      <c r="H663" s="61"/>
    </row>
    <row r="664" spans="2:8" ht="15.75">
      <c r="B664" s="63"/>
      <c r="C664" s="30"/>
      <c r="D664" s="64"/>
      <c r="E664" s="61"/>
      <c r="F664" s="61"/>
      <c r="G664" s="61"/>
      <c r="H664" s="61"/>
    </row>
    <row r="665" spans="2:8" ht="15.75">
      <c r="B665" s="63"/>
      <c r="C665" s="30"/>
      <c r="D665" s="64"/>
      <c r="E665" s="61"/>
      <c r="F665" s="61"/>
      <c r="G665" s="61"/>
      <c r="H665" s="61"/>
    </row>
    <row r="666" spans="2:8" ht="15.75">
      <c r="B666" s="63"/>
      <c r="C666" s="30"/>
      <c r="D666" s="64"/>
      <c r="E666" s="61"/>
      <c r="F666" s="61"/>
      <c r="G666" s="61"/>
      <c r="H666" s="61"/>
    </row>
    <row r="667" spans="2:8" ht="15.75">
      <c r="B667" s="63"/>
      <c r="C667" s="30"/>
      <c r="D667" s="64"/>
      <c r="E667" s="61"/>
      <c r="F667" s="61"/>
      <c r="G667" s="61"/>
      <c r="H667" s="61"/>
    </row>
    <row r="668" spans="2:8" ht="15.75">
      <c r="B668" s="63"/>
      <c r="C668" s="30"/>
      <c r="D668" s="64"/>
      <c r="E668" s="61"/>
      <c r="F668" s="61"/>
      <c r="G668" s="61"/>
      <c r="H668" s="61"/>
    </row>
    <row r="669" spans="2:8" ht="15.75">
      <c r="B669" s="63"/>
      <c r="C669" s="30"/>
      <c r="D669" s="64"/>
      <c r="E669" s="61"/>
      <c r="F669" s="61"/>
      <c r="G669" s="61"/>
      <c r="H669" s="61"/>
    </row>
    <row r="670" spans="2:8" ht="15.75">
      <c r="B670" s="63"/>
      <c r="C670" s="30"/>
      <c r="D670" s="64"/>
      <c r="E670" s="61"/>
      <c r="F670" s="61"/>
      <c r="G670" s="61"/>
      <c r="H670" s="61"/>
    </row>
    <row r="671" spans="2:8" ht="15.75">
      <c r="B671" s="63"/>
      <c r="C671" s="30"/>
      <c r="D671" s="64"/>
      <c r="E671" s="61"/>
      <c r="F671" s="61"/>
      <c r="G671" s="61"/>
      <c r="H671" s="61"/>
    </row>
    <row r="672" spans="2:8" ht="15.75">
      <c r="B672" s="63"/>
      <c r="C672" s="30"/>
      <c r="D672" s="64"/>
      <c r="E672" s="61"/>
      <c r="F672" s="61"/>
      <c r="G672" s="61"/>
      <c r="H672" s="61"/>
    </row>
    <row r="673" spans="2:8" ht="15.75">
      <c r="B673" s="63"/>
      <c r="C673" s="30"/>
      <c r="D673" s="64"/>
      <c r="E673" s="61"/>
      <c r="F673" s="61"/>
      <c r="G673" s="61"/>
      <c r="H673" s="61"/>
    </row>
    <row r="674" spans="2:8" ht="15.75">
      <c r="B674" s="63"/>
      <c r="C674" s="30"/>
      <c r="D674" s="64"/>
      <c r="E674" s="61"/>
      <c r="F674" s="61"/>
      <c r="G674" s="61"/>
      <c r="H674" s="61"/>
    </row>
    <row r="675" spans="2:8" ht="15.75">
      <c r="B675" s="63"/>
      <c r="C675" s="30"/>
      <c r="D675" s="64"/>
      <c r="E675" s="61"/>
      <c r="F675" s="61"/>
      <c r="G675" s="61"/>
      <c r="H675" s="61"/>
    </row>
    <row r="676" spans="2:8" ht="15.75">
      <c r="B676" s="63"/>
      <c r="C676" s="30"/>
      <c r="D676" s="64"/>
      <c r="E676" s="61"/>
      <c r="F676" s="61"/>
      <c r="G676" s="61"/>
      <c r="H676" s="61"/>
    </row>
    <row r="677" spans="2:8" ht="15.75">
      <c r="B677" s="63"/>
      <c r="C677" s="30"/>
      <c r="D677" s="64"/>
      <c r="E677" s="61"/>
      <c r="F677" s="61"/>
      <c r="G677" s="61"/>
      <c r="H677" s="61"/>
    </row>
    <row r="678" spans="2:8" ht="15.75">
      <c r="B678" s="63"/>
      <c r="C678" s="30"/>
      <c r="D678" s="64"/>
      <c r="E678" s="61"/>
      <c r="F678" s="61"/>
      <c r="G678" s="61"/>
      <c r="H678" s="61"/>
    </row>
    <row r="679" spans="2:8" ht="15.75">
      <c r="B679" s="63"/>
      <c r="C679" s="30"/>
      <c r="D679" s="64"/>
      <c r="E679" s="61"/>
      <c r="F679" s="61"/>
      <c r="G679" s="61"/>
      <c r="H679" s="61"/>
    </row>
    <row r="680" spans="2:8" ht="15.75">
      <c r="B680" s="63"/>
      <c r="C680" s="30"/>
      <c r="D680" s="64"/>
      <c r="E680" s="61"/>
      <c r="F680" s="61"/>
      <c r="G680" s="61"/>
      <c r="H680" s="61"/>
    </row>
    <row r="681" spans="2:8" ht="15.75">
      <c r="B681" s="63"/>
      <c r="C681" s="30"/>
      <c r="D681" s="64"/>
      <c r="E681" s="61"/>
      <c r="F681" s="61"/>
      <c r="G681" s="61"/>
      <c r="H681" s="61"/>
    </row>
    <row r="682" spans="2:8" ht="15.75">
      <c r="B682" s="63"/>
      <c r="C682" s="30"/>
      <c r="D682" s="64"/>
      <c r="E682" s="61"/>
      <c r="F682" s="61"/>
      <c r="G682" s="61"/>
      <c r="H682" s="61"/>
    </row>
    <row r="683" spans="2:8" ht="15.75">
      <c r="B683" s="63"/>
      <c r="C683" s="30"/>
      <c r="D683" s="64"/>
      <c r="E683" s="61"/>
      <c r="F683" s="61"/>
      <c r="G683" s="61"/>
      <c r="H683" s="61"/>
    </row>
    <row r="684" spans="2:8" ht="15.75">
      <c r="B684" s="63"/>
      <c r="C684" s="30"/>
      <c r="D684" s="64"/>
      <c r="E684" s="61"/>
      <c r="F684" s="61"/>
      <c r="G684" s="61"/>
      <c r="H684" s="61"/>
    </row>
    <row r="685" spans="2:8" ht="15.75">
      <c r="B685" s="63"/>
      <c r="C685" s="30"/>
      <c r="D685" s="64"/>
      <c r="E685" s="61"/>
      <c r="F685" s="61"/>
      <c r="G685" s="61"/>
      <c r="H685" s="61"/>
    </row>
    <row r="686" spans="2:8" ht="15.75">
      <c r="B686" s="63"/>
      <c r="C686" s="30"/>
      <c r="D686" s="64"/>
      <c r="E686" s="61"/>
      <c r="F686" s="61"/>
      <c r="G686" s="61"/>
      <c r="H686" s="61"/>
    </row>
    <row r="687" spans="2:8" ht="15.75">
      <c r="B687" s="63"/>
      <c r="C687" s="30"/>
      <c r="D687" s="64"/>
      <c r="E687" s="61"/>
      <c r="F687" s="61"/>
      <c r="G687" s="61"/>
      <c r="H687" s="61"/>
    </row>
    <row r="688" spans="2:8" ht="15.75">
      <c r="B688" s="63"/>
      <c r="C688" s="30"/>
      <c r="D688" s="64"/>
      <c r="E688" s="61"/>
      <c r="F688" s="61"/>
      <c r="G688" s="61"/>
      <c r="H688" s="61"/>
    </row>
    <row r="689" spans="2:8" ht="15.75">
      <c r="B689" s="63"/>
      <c r="C689" s="30"/>
      <c r="D689" s="64"/>
      <c r="E689" s="61"/>
      <c r="F689" s="61"/>
      <c r="G689" s="61"/>
      <c r="H689" s="61"/>
    </row>
    <row r="690" spans="2:8" ht="15.75">
      <c r="B690" s="63"/>
      <c r="C690" s="30"/>
      <c r="D690" s="64"/>
      <c r="E690" s="61"/>
      <c r="F690" s="61"/>
      <c r="G690" s="61"/>
      <c r="H690" s="61"/>
    </row>
    <row r="691" spans="2:8" ht="15.75">
      <c r="B691" s="63"/>
      <c r="C691" s="30"/>
      <c r="D691" s="64"/>
      <c r="E691" s="61"/>
      <c r="F691" s="61"/>
      <c r="G691" s="61"/>
      <c r="H691" s="61"/>
    </row>
    <row r="692" spans="2:8" ht="15.75">
      <c r="B692" s="63"/>
      <c r="C692" s="30"/>
      <c r="D692" s="64"/>
      <c r="E692" s="61"/>
      <c r="F692" s="61"/>
      <c r="G692" s="61"/>
      <c r="H692" s="61"/>
    </row>
    <row r="693" spans="2:8" ht="15.75">
      <c r="B693" s="63"/>
      <c r="C693" s="30"/>
      <c r="D693" s="64"/>
      <c r="E693" s="61"/>
      <c r="F693" s="61"/>
      <c r="G693" s="61"/>
      <c r="H693" s="61"/>
    </row>
    <row r="694" spans="2:8" ht="15.75">
      <c r="B694" s="63"/>
      <c r="C694" s="30"/>
      <c r="D694" s="64"/>
      <c r="E694" s="61"/>
      <c r="F694" s="61"/>
      <c r="G694" s="61"/>
      <c r="H694" s="61"/>
    </row>
    <row r="695" spans="2:8" ht="15.75">
      <c r="B695" s="63"/>
      <c r="C695" s="30"/>
      <c r="D695" s="64"/>
      <c r="E695" s="61"/>
      <c r="F695" s="61"/>
      <c r="G695" s="61"/>
      <c r="H695" s="61"/>
    </row>
    <row r="696" spans="2:8" ht="15.75">
      <c r="B696" s="63"/>
      <c r="C696" s="30"/>
      <c r="D696" s="64"/>
      <c r="E696" s="61"/>
      <c r="F696" s="61"/>
      <c r="G696" s="61"/>
      <c r="H696" s="61"/>
    </row>
    <row r="697" spans="2:8" ht="15.75">
      <c r="B697" s="63"/>
      <c r="C697" s="30"/>
      <c r="D697" s="64"/>
      <c r="E697" s="61"/>
      <c r="F697" s="61"/>
      <c r="G697" s="61"/>
      <c r="H697" s="61"/>
    </row>
    <row r="698" spans="2:8" ht="15.75">
      <c r="B698" s="63"/>
      <c r="C698" s="30"/>
      <c r="D698" s="64"/>
      <c r="E698" s="61"/>
      <c r="F698" s="61"/>
      <c r="G698" s="61"/>
      <c r="H698" s="61"/>
    </row>
    <row r="699" spans="2:8" ht="15.75">
      <c r="B699" s="63"/>
      <c r="C699" s="30"/>
      <c r="D699" s="64"/>
      <c r="E699" s="61"/>
      <c r="F699" s="61"/>
      <c r="G699" s="61"/>
      <c r="H699" s="61"/>
    </row>
    <row r="700" spans="2:8" ht="15.75">
      <c r="B700" s="63"/>
      <c r="C700" s="30"/>
      <c r="D700" s="64"/>
      <c r="E700" s="61"/>
      <c r="F700" s="61"/>
      <c r="G700" s="61"/>
      <c r="H700" s="61"/>
    </row>
    <row r="701" spans="2:8" ht="15.75">
      <c r="B701" s="63"/>
      <c r="C701" s="30"/>
      <c r="D701" s="64"/>
      <c r="E701" s="61"/>
      <c r="F701" s="61"/>
      <c r="G701" s="61"/>
      <c r="H701" s="61"/>
    </row>
    <row r="702" spans="2:8" ht="15.75">
      <c r="B702" s="63"/>
      <c r="C702" s="30"/>
      <c r="D702" s="64"/>
      <c r="E702" s="61"/>
      <c r="F702" s="61"/>
      <c r="G702" s="61"/>
      <c r="H702" s="61"/>
    </row>
    <row r="703" spans="2:8" ht="15.75">
      <c r="B703" s="63"/>
      <c r="C703" s="30"/>
      <c r="D703" s="64"/>
      <c r="E703" s="61"/>
      <c r="F703" s="61"/>
      <c r="G703" s="61"/>
      <c r="H703" s="61"/>
    </row>
    <row r="704" spans="2:8" ht="15.75">
      <c r="B704" s="63"/>
      <c r="C704" s="30"/>
      <c r="D704" s="64"/>
      <c r="E704" s="61"/>
      <c r="F704" s="61"/>
      <c r="G704" s="61"/>
      <c r="H704" s="61"/>
    </row>
    <row r="705" spans="2:8" ht="15.75">
      <c r="B705" s="63"/>
      <c r="C705" s="30"/>
      <c r="D705" s="64"/>
      <c r="E705" s="61"/>
      <c r="F705" s="61"/>
      <c r="G705" s="61"/>
      <c r="H705" s="61"/>
    </row>
    <row r="706" spans="2:8" ht="15.75">
      <c r="B706" s="63"/>
      <c r="C706" s="30"/>
      <c r="D706" s="64"/>
      <c r="E706" s="61"/>
      <c r="F706" s="61"/>
      <c r="G706" s="61"/>
      <c r="H706" s="61"/>
    </row>
    <row r="707" spans="2:8" ht="15.75">
      <c r="B707" s="63"/>
      <c r="C707" s="30"/>
      <c r="D707" s="64"/>
      <c r="E707" s="61"/>
      <c r="F707" s="61"/>
      <c r="G707" s="61"/>
      <c r="H707" s="61"/>
    </row>
    <row r="708" spans="2:8" ht="15.75">
      <c r="B708" s="63"/>
      <c r="C708" s="30"/>
      <c r="D708" s="64"/>
      <c r="E708" s="61"/>
      <c r="F708" s="61"/>
      <c r="G708" s="61"/>
      <c r="H708" s="61"/>
    </row>
    <row r="709" spans="2:8" ht="15.75">
      <c r="B709" s="63"/>
      <c r="C709" s="30"/>
      <c r="D709" s="64"/>
      <c r="E709" s="61"/>
      <c r="F709" s="61"/>
      <c r="G709" s="61"/>
      <c r="H709" s="61"/>
    </row>
    <row r="710" spans="2:8" ht="15.75">
      <c r="B710" s="63"/>
      <c r="C710" s="30"/>
      <c r="D710" s="64"/>
      <c r="E710" s="61"/>
      <c r="F710" s="61"/>
      <c r="G710" s="61"/>
      <c r="H710" s="61"/>
    </row>
    <row r="711" spans="2:8" ht="15.75">
      <c r="B711" s="63"/>
      <c r="C711" s="30"/>
      <c r="D711" s="64"/>
      <c r="E711" s="61"/>
      <c r="F711" s="61"/>
      <c r="G711" s="61"/>
      <c r="H711" s="61"/>
    </row>
    <row r="712" spans="2:8" ht="15.75">
      <c r="B712" s="63"/>
      <c r="C712" s="30"/>
      <c r="D712" s="64"/>
      <c r="E712" s="61"/>
      <c r="F712" s="61"/>
      <c r="G712" s="61"/>
      <c r="H712" s="61"/>
    </row>
    <row r="713" spans="2:8" ht="15.75">
      <c r="B713" s="63"/>
      <c r="C713" s="30"/>
      <c r="D713" s="64"/>
      <c r="E713" s="61"/>
      <c r="F713" s="61"/>
      <c r="G713" s="61"/>
      <c r="H713" s="61"/>
    </row>
    <row r="714" spans="2:8" ht="15.75">
      <c r="B714" s="63"/>
      <c r="C714" s="30"/>
      <c r="D714" s="64"/>
      <c r="E714" s="61"/>
      <c r="F714" s="61"/>
      <c r="G714" s="61"/>
      <c r="H714" s="61"/>
    </row>
    <row r="715" spans="2:8" ht="15.75">
      <c r="B715" s="63"/>
      <c r="C715" s="30"/>
      <c r="D715" s="64"/>
      <c r="E715" s="61"/>
      <c r="F715" s="61"/>
      <c r="G715" s="61"/>
      <c r="H715" s="61"/>
    </row>
    <row r="716" spans="2:8" ht="15.75">
      <c r="B716" s="63"/>
      <c r="C716" s="30"/>
      <c r="D716" s="64"/>
      <c r="E716" s="61"/>
      <c r="F716" s="61"/>
      <c r="G716" s="61"/>
      <c r="H716" s="61"/>
    </row>
    <row r="717" spans="2:8" ht="15.75">
      <c r="B717" s="63"/>
      <c r="C717" s="30"/>
      <c r="D717" s="64"/>
      <c r="E717" s="61"/>
      <c r="F717" s="61"/>
      <c r="G717" s="61"/>
      <c r="H717" s="61"/>
    </row>
    <row r="718" spans="2:8" ht="15.75">
      <c r="B718" s="63"/>
      <c r="C718" s="30"/>
      <c r="D718" s="64"/>
      <c r="E718" s="61"/>
      <c r="F718" s="61"/>
      <c r="G718" s="61"/>
      <c r="H718" s="61"/>
    </row>
    <row r="719" spans="2:8" ht="15.75">
      <c r="B719" s="63"/>
      <c r="C719" s="30"/>
      <c r="D719" s="64"/>
      <c r="E719" s="61"/>
      <c r="F719" s="61"/>
      <c r="G719" s="61"/>
      <c r="H719" s="61"/>
    </row>
    <row r="720" spans="2:8" ht="15.75">
      <c r="B720" s="63"/>
      <c r="C720" s="30"/>
      <c r="D720" s="64"/>
      <c r="E720" s="61"/>
      <c r="F720" s="61"/>
      <c r="G720" s="61"/>
      <c r="H720" s="61"/>
    </row>
    <row r="721" spans="2:8" ht="15.75">
      <c r="B721" s="63"/>
      <c r="C721" s="30"/>
      <c r="D721" s="64"/>
      <c r="E721" s="61"/>
      <c r="F721" s="61"/>
      <c r="G721" s="61"/>
      <c r="H721" s="61"/>
    </row>
    <row r="722" spans="2:8" ht="15.75">
      <c r="B722" s="63"/>
      <c r="C722" s="30"/>
      <c r="D722" s="64"/>
      <c r="E722" s="61"/>
      <c r="F722" s="61"/>
      <c r="G722" s="61"/>
      <c r="H722" s="61"/>
    </row>
    <row r="723" spans="2:8" ht="15.75">
      <c r="B723" s="63"/>
      <c r="C723" s="30"/>
      <c r="D723" s="64"/>
      <c r="E723" s="61"/>
      <c r="F723" s="61"/>
      <c r="G723" s="61"/>
      <c r="H723" s="61"/>
    </row>
  </sheetData>
  <sheetProtection password="CE28" sheet="1" objects="1" scenarios="1"/>
  <mergeCells count="107">
    <mergeCell ref="I444:I445"/>
    <mergeCell ref="J444:J445"/>
    <mergeCell ref="K444:K445"/>
    <mergeCell ref="L444:L445"/>
    <mergeCell ref="M444:M445"/>
    <mergeCell ref="A446:A508"/>
    <mergeCell ref="B446:B508"/>
    <mergeCell ref="K440:K441"/>
    <mergeCell ref="A442:K442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E440:E441"/>
    <mergeCell ref="F440:F441"/>
    <mergeCell ref="G440:G441"/>
    <mergeCell ref="H440:H441"/>
    <mergeCell ref="I440:I441"/>
    <mergeCell ref="J440:J441"/>
    <mergeCell ref="A421:A429"/>
    <mergeCell ref="B421:B429"/>
    <mergeCell ref="A430:A435"/>
    <mergeCell ref="B430:B435"/>
    <mergeCell ref="C430:C435"/>
    <mergeCell ref="A437:A438"/>
    <mergeCell ref="B437:B438"/>
    <mergeCell ref="A388:A391"/>
    <mergeCell ref="B388:B391"/>
    <mergeCell ref="A392:A404"/>
    <mergeCell ref="B392:B404"/>
    <mergeCell ref="A405:A420"/>
    <mergeCell ref="B405:B420"/>
    <mergeCell ref="A355:A364"/>
    <mergeCell ref="B355:B364"/>
    <mergeCell ref="A365:A377"/>
    <mergeCell ref="B365:B377"/>
    <mergeCell ref="A378:A387"/>
    <mergeCell ref="B378:B387"/>
    <mergeCell ref="A309:A316"/>
    <mergeCell ref="B309:B316"/>
    <mergeCell ref="A317:A336"/>
    <mergeCell ref="B317:B336"/>
    <mergeCell ref="A337:A354"/>
    <mergeCell ref="B337:B354"/>
    <mergeCell ref="A269:A279"/>
    <mergeCell ref="B269:B279"/>
    <mergeCell ref="A280:A294"/>
    <mergeCell ref="B280:B294"/>
    <mergeCell ref="A295:A308"/>
    <mergeCell ref="B295:B308"/>
    <mergeCell ref="A227:A238"/>
    <mergeCell ref="B227:B238"/>
    <mergeCell ref="A239:A255"/>
    <mergeCell ref="B239:B255"/>
    <mergeCell ref="A256:A268"/>
    <mergeCell ref="B256:B268"/>
    <mergeCell ref="A191:A202"/>
    <mergeCell ref="B191:B202"/>
    <mergeCell ref="A203:A213"/>
    <mergeCell ref="B203:B213"/>
    <mergeCell ref="A214:A226"/>
    <mergeCell ref="B214:B226"/>
    <mergeCell ref="A153:A165"/>
    <mergeCell ref="B153:B165"/>
    <mergeCell ref="A166:A177"/>
    <mergeCell ref="B166:B177"/>
    <mergeCell ref="A178:A190"/>
    <mergeCell ref="B178:B190"/>
    <mergeCell ref="A123:A127"/>
    <mergeCell ref="B123:B127"/>
    <mergeCell ref="A128:A140"/>
    <mergeCell ref="B128:B140"/>
    <mergeCell ref="A141:A152"/>
    <mergeCell ref="B141:B152"/>
    <mergeCell ref="A71:A87"/>
    <mergeCell ref="B71:B87"/>
    <mergeCell ref="A88:A104"/>
    <mergeCell ref="B88:B104"/>
    <mergeCell ref="A105:A122"/>
    <mergeCell ref="B105:B122"/>
    <mergeCell ref="A28:A50"/>
    <mergeCell ref="B28:B50"/>
    <mergeCell ref="A51:A63"/>
    <mergeCell ref="B51:B63"/>
    <mergeCell ref="A66:A70"/>
    <mergeCell ref="B66:B70"/>
    <mergeCell ref="I4:I5"/>
    <mergeCell ref="J4:J5"/>
    <mergeCell ref="K4:K5"/>
    <mergeCell ref="L4:L5"/>
    <mergeCell ref="M4:M5"/>
    <mergeCell ref="A6:A27"/>
    <mergeCell ref="B6:B27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4" right="0.18" top="0.39" bottom="0.4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2011-08-15T11:32:55Z</cp:lastPrinted>
  <dcterms:created xsi:type="dcterms:W3CDTF">2011-02-09T07:28:13Z</dcterms:created>
  <dcterms:modified xsi:type="dcterms:W3CDTF">2011-08-15T11:33:27Z</dcterms:modified>
  <cp:category/>
  <cp:version/>
  <cp:contentType/>
  <cp:contentStatus/>
</cp:coreProperties>
</file>