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1"/>
  </bookViews>
  <sheets>
    <sheet name="на сайт" sheetId="1" r:id="rId1"/>
    <sheet name="Лист3" sheetId="2" r:id="rId2"/>
  </sheets>
  <definedNames>
    <definedName name="_xlnm._FilterDatabase" localSheetId="0" hidden="1">'на сайт'!$A$4:$P$141</definedName>
    <definedName name="_xlnm.Print_Titles" localSheetId="0">'на сайт'!$4:$4</definedName>
    <definedName name="_xlnm.Print_Area" localSheetId="0">'на сайт'!$A$1:$S$148</definedName>
  </definedNames>
  <calcPr fullCalcOnLoad="1" refMode="R1C1"/>
</workbook>
</file>

<file path=xl/sharedStrings.xml><?xml version="1.0" encoding="utf-8"?>
<sst xmlns="http://schemas.openxmlformats.org/spreadsheetml/2006/main" count="379" uniqueCount="167">
  <si>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</si>
  <si>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</si>
  <si>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</si>
  <si>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</si>
  <si>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</si>
  <si>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</si>
  <si>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</si>
  <si>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</si>
  <si>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</si>
  <si>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</si>
  <si>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</si>
  <si>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</si>
  <si>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</si>
  <si>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</si>
  <si>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</si>
  <si>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</si>
  <si>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</si>
  <si>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</si>
  <si>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</si>
  <si>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</si>
  <si>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</si>
  <si>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</si>
  <si>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</si>
  <si>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</si>
  <si>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</si>
  <si>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</si>
  <si>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</si>
  <si>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</si>
  <si>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</si>
  <si>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</si>
  <si>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</si>
  <si>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</si>
  <si>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</si>
  <si>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</si>
  <si>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</si>
  <si>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</si>
  <si>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</si>
  <si>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</si>
  <si>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</si>
  <si>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</si>
  <si>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</si>
  <si>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</si>
  <si>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</si>
  <si>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</si>
  <si>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</si>
  <si>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</si>
  <si>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</si>
  <si>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</si>
  <si>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</si>
  <si>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</si>
  <si>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</si>
  <si>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</si>
  <si>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</si>
  <si>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</si>
  <si>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</si>
  <si>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</si>
  <si>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</si>
  <si>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</si>
  <si>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</si>
  <si>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</si>
  <si>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</si>
  <si>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</si>
  <si>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</si>
  <si>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</si>
  <si>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</si>
  <si>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</si>
  <si>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</si>
  <si>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</si>
  <si>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</si>
  <si>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</si>
  <si>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</si>
  <si>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</si>
  <si>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</si>
  <si>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</si>
  <si>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</si>
  <si>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</si>
  <si>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</si>
  <si>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</si>
  <si>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</si>
  <si>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</si>
  <si>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</si>
  <si>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</si>
  <si>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</si>
  <si>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</si>
  <si>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</si>
  <si>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</si>
  <si>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</si>
  <si>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</si>
  <si>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</si>
  <si>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</si>
  <si>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</si>
  <si>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</si>
  <si>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</si>
  <si>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</si>
  <si>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</si>
  <si>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</si>
  <si>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</si>
  <si>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</si>
  <si>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</si>
  <si>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</si>
  <si>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</si>
  <si>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</si>
  <si>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</si>
  <si>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</si>
  <si>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</si>
  <si>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</si>
  <si>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</si>
  <si>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</si>
  <si>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</si>
  <si>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</si>
  <si>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</si>
  <si>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</si>
  <si>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</si>
  <si>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</si>
  <si>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</si>
  <si>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</si>
  <si>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</si>
  <si>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</si>
  <si>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</si>
  <si>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</si>
  <si>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</si>
  <si>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</si>
  <si>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</si>
  <si>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</si>
  <si>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</si>
  <si>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</si>
  <si>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</si>
  <si>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</si>
  <si>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</si>
  <si>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</si>
  <si>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расходы  местного бюджета с учетом зарезервированных средств</t>
  </si>
  <si>
    <t>Итого по КВСР 177 в т.ч.:</t>
  </si>
  <si>
    <t>ГУ 10-ОГПС МЧС России по Пермскому краю</t>
  </si>
  <si>
    <t>%  выполнения кассового плана за отчетный период</t>
  </si>
  <si>
    <t>возврат нецелевых</t>
  </si>
  <si>
    <t>Кассовый план года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</si>
  <si>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</si>
  <si>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</si>
  <si>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</si>
  <si>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</si>
  <si>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</si>
  <si>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</si>
  <si>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</si>
  <si>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</si>
  <si>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</si>
  <si>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Уточненный план                  11 месяцев 2008 года *</t>
  </si>
  <si>
    <t xml:space="preserve">% выполнения  уточненного плана                                             </t>
  </si>
  <si>
    <t xml:space="preserve">Ассигнования 11 месяцев 2008 года </t>
  </si>
  <si>
    <t xml:space="preserve">Отклонение от установленного уровня выполнения ассигнований (95%) </t>
  </si>
  <si>
    <t>Удельный вес источника финансирования в общем объеме расходов</t>
  </si>
  <si>
    <t>балл</t>
  </si>
  <si>
    <t xml:space="preserve">   * -  Уточненный план 11 месяцев 2008 года по расходам местного бюджета рассчитан от предельных объемов финансирования 11 месяцев (в соответствии с представленными главными распорядителями средств бюджета еженедельными графиками платежей до конца 2008г.), по расходам за счет других источников финансирования - в размере 11/12 объема годовых бюджетных ассигнований.</t>
  </si>
  <si>
    <t xml:space="preserve">   ** -  Нормативный % оценки определен с учетом удельного веса расходов по каждому источнику финансирования. Для расчета оценки использованы показатели: за счет средств местного бюджета - 100,0% от предельных объемов финансирования 11 месяцев, по другим источникам финансирования - 95,0 % в размере 11/12 объема годовых ассигнований. </t>
  </si>
  <si>
    <t>2  без зарез</t>
  </si>
  <si>
    <t>%  выполнения годовых  ассигнований</t>
  </si>
  <si>
    <t>Анализ исполнения бюджета города Перми по расходам на 1 января 2009 года</t>
  </si>
  <si>
    <r>
      <t xml:space="preserve">нормативный % оценки </t>
    </r>
    <r>
      <rPr>
        <b/>
        <sz val="8"/>
        <color indexed="10"/>
        <rFont val="Times New Roman"/>
        <family val="1"/>
      </rPr>
      <t>(100% по расходам местного бюджета, 95% по другим расходам) **</t>
    </r>
  </si>
  <si>
    <r>
      <t>нормативный % оценки</t>
    </r>
    <r>
      <rPr>
        <b/>
        <sz val="8"/>
        <color indexed="10"/>
        <rFont val="Times New Roman"/>
        <family val="1"/>
      </rPr>
      <t xml:space="preserve"> (95% по расходам местного бюджета, 90% по другим расходам)</t>
    </r>
  </si>
  <si>
    <t xml:space="preserve">ПОФ </t>
  </si>
  <si>
    <t>%  выполнения ПОФ</t>
  </si>
  <si>
    <t>Остаток ПОФ по кассовым расходам</t>
  </si>
  <si>
    <t>Ассигнования 2008 года</t>
  </si>
  <si>
    <t xml:space="preserve">    * - сумма кассовых расходов получателей средств бюджета, лицевые счета которых открыты в УФК по Пермскому краю, приведена в таблице в пределах объема финансирования по соответствующим направлениям расходов.</t>
  </si>
  <si>
    <t xml:space="preserve">   * -  расчётный уровень выполнения плана 2008 года установлен по расходам: 100,0% от ПОФ - за счет средств местного бюджета и 95,0% от годовых ассигнований - по другим источникам финансирования.</t>
  </si>
  <si>
    <t>Кассовый расход за отчетный период</t>
  </si>
  <si>
    <t>Отклонение от установленного уровня выполнения плана (100% и 95%) *</t>
  </si>
  <si>
    <t>Нераспределенный резерв ФСР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</si>
</sst>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Arial"/>
      <family val="2"/>
    </font>
    <font>
      <i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171" fontId="3" fillId="0" borderId="2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71" fontId="3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7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Border="1" applyAlignment="1">
      <alignment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center" wrapText="1"/>
    </xf>
    <xf numFmtId="171" fontId="3" fillId="2" borderId="1" xfId="0" applyNumberFormat="1" applyFont="1" applyFill="1" applyBorder="1" applyAlignment="1">
      <alignment horizontal="right" vertical="center" wrapText="1" indent="1"/>
    </xf>
    <xf numFmtId="171" fontId="3" fillId="2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71" fontId="13" fillId="0" borderId="1" xfId="20" applyNumberFormat="1" applyFont="1" applyFill="1" applyBorder="1" applyAlignment="1">
      <alignment horizontal="right" vertical="center" wrapText="1" indent="1"/>
    </xf>
    <xf numFmtId="171" fontId="13" fillId="0" borderId="1" xfId="0" applyNumberFormat="1" applyFont="1" applyFill="1" applyBorder="1" applyAlignment="1">
      <alignment horizontal="right" vertical="center" wrapText="1" indent="1"/>
    </xf>
    <xf numFmtId="171" fontId="4" fillId="3" borderId="1" xfId="0" applyNumberFormat="1" applyFont="1" applyFill="1" applyBorder="1" applyAlignment="1">
      <alignment horizontal="right" vertical="center" wrapText="1" indent="1"/>
    </xf>
    <xf numFmtId="166" fontId="4" fillId="0" borderId="1" xfId="0" applyNumberFormat="1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6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wrapText="1"/>
    </xf>
    <xf numFmtId="2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/>
    </xf>
    <xf numFmtId="49" fontId="14" fillId="2" borderId="3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171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indent="1"/>
    </xf>
    <xf numFmtId="171" fontId="14" fillId="0" borderId="1" xfId="0" applyNumberFormat="1" applyFont="1" applyFill="1" applyBorder="1" applyAlignment="1">
      <alignment horizontal="right" vertical="center" wrapText="1" indent="1"/>
    </xf>
    <xf numFmtId="171" fontId="24" fillId="0" borderId="1" xfId="0" applyNumberFormat="1" applyFont="1" applyFill="1" applyBorder="1" applyAlignment="1">
      <alignment horizontal="right" vertical="center" wrapText="1" indent="1"/>
    </xf>
    <xf numFmtId="171" fontId="13" fillId="2" borderId="1" xfId="0" applyNumberFormat="1" applyFont="1" applyFill="1" applyBorder="1" applyAlignment="1">
      <alignment horizontal="right" vertical="center" wrapText="1" indent="1"/>
    </xf>
    <xf numFmtId="171" fontId="14" fillId="2" borderId="1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left" vertical="center" wrapText="1"/>
    </xf>
    <xf numFmtId="171" fontId="15" fillId="2" borderId="1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left"/>
    </xf>
    <xf numFmtId="171" fontId="15" fillId="2" borderId="1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left"/>
    </xf>
    <xf numFmtId="0" fontId="16" fillId="0" borderId="0" xfId="0" applyFont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vertical="center" wrapText="1"/>
    </xf>
    <xf numFmtId="0" fontId="19" fillId="0" borderId="7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NumberFormat="1" applyFont="1" applyBorder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workbookViewId="0" topLeftCell="A1">
      <pane xSplit="3" ySplit="4" topLeftCell="I1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8" sqref="D78"/>
    </sheetView>
  </sheetViews>
  <sheetFormatPr defaultColWidth="9.140625" defaultRowHeight="12.75"/>
  <cols>
    <col min="1" max="1" width="5.8515625" style="41" customWidth="1"/>
    <col min="2" max="2" width="30.28125" style="0" customWidth="1"/>
    <col min="3" max="3" width="43.7109375" style="0" customWidth="1"/>
    <col min="4" max="4" width="12.8515625" style="15" customWidth="1"/>
    <col min="5" max="5" width="13.00390625" style="15" hidden="1" customWidth="1"/>
    <col min="6" max="6" width="12.8515625" style="15" customWidth="1"/>
    <col min="7" max="7" width="13.57421875" style="0" hidden="1" customWidth="1"/>
    <col min="8" max="8" width="12.57421875" style="15" hidden="1" customWidth="1"/>
    <col min="9" max="9" width="12.8515625" style="25" customWidth="1"/>
    <col min="10" max="10" width="14.7109375" style="0" hidden="1" customWidth="1"/>
    <col min="11" max="11" width="12.00390625" style="0" hidden="1" customWidth="1"/>
    <col min="12" max="12" width="11.00390625" style="0" customWidth="1"/>
    <col min="13" max="13" width="11.8515625" style="0" customWidth="1"/>
    <col min="14" max="14" width="11.00390625" style="0" customWidth="1"/>
    <col min="15" max="15" width="12.8515625" style="0" customWidth="1"/>
    <col min="16" max="16" width="14.28125" style="0" hidden="1" customWidth="1"/>
    <col min="17" max="17" width="14.140625" style="0" hidden="1" customWidth="1"/>
    <col min="18" max="19" width="11.8515625" style="0" hidden="1" customWidth="1"/>
    <col min="20" max="20" width="5.8515625" style="0" hidden="1" customWidth="1"/>
  </cols>
  <sheetData>
    <row r="1" spans="8:19" ht="15">
      <c r="H1" s="58"/>
      <c r="O1" s="49" t="s">
        <v>144</v>
      </c>
      <c r="P1" s="49" t="s">
        <v>144</v>
      </c>
      <c r="Q1" s="49"/>
      <c r="R1" s="49"/>
      <c r="S1" s="49" t="s">
        <v>144</v>
      </c>
    </row>
    <row r="2" spans="1:19" s="16" customFormat="1" ht="21.75" customHeight="1">
      <c r="A2" s="107" t="s">
        <v>155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61"/>
      <c r="Q2" s="61"/>
      <c r="R2" s="61"/>
      <c r="S2" s="61"/>
    </row>
    <row r="3" spans="1:19" s="16" customFormat="1" ht="21" customHeight="1">
      <c r="A3" s="42"/>
      <c r="B3" s="17"/>
      <c r="C3" s="17"/>
      <c r="D3" s="18"/>
      <c r="E3" s="18"/>
      <c r="F3" s="18"/>
      <c r="G3" s="18"/>
      <c r="H3" s="18"/>
      <c r="I3" s="26"/>
      <c r="J3" s="19"/>
      <c r="K3" s="19"/>
      <c r="L3" s="19"/>
      <c r="M3" s="19"/>
      <c r="N3" s="19"/>
      <c r="O3" s="20" t="s">
        <v>106</v>
      </c>
      <c r="P3" s="20" t="s">
        <v>106</v>
      </c>
      <c r="Q3" s="20"/>
      <c r="R3" s="20"/>
      <c r="S3" s="20" t="s">
        <v>106</v>
      </c>
    </row>
    <row r="4" spans="1:20" s="16" customFormat="1" ht="81" customHeight="1">
      <c r="A4" s="4" t="s">
        <v>1</v>
      </c>
      <c r="B4" s="4" t="s">
        <v>113</v>
      </c>
      <c r="C4" s="4" t="s">
        <v>127</v>
      </c>
      <c r="D4" s="30" t="s">
        <v>161</v>
      </c>
      <c r="E4" s="74" t="s">
        <v>147</v>
      </c>
      <c r="F4" s="30" t="s">
        <v>158</v>
      </c>
      <c r="G4" s="74" t="s">
        <v>135</v>
      </c>
      <c r="H4" s="74" t="s">
        <v>145</v>
      </c>
      <c r="I4" s="21" t="s">
        <v>164</v>
      </c>
      <c r="J4" s="75" t="s">
        <v>133</v>
      </c>
      <c r="K4" s="75" t="s">
        <v>146</v>
      </c>
      <c r="L4" s="21" t="s">
        <v>160</v>
      </c>
      <c r="M4" s="21" t="s">
        <v>154</v>
      </c>
      <c r="N4" s="21" t="s">
        <v>159</v>
      </c>
      <c r="O4" s="81" t="s">
        <v>165</v>
      </c>
      <c r="P4" s="76" t="s">
        <v>148</v>
      </c>
      <c r="Q4" s="76" t="s">
        <v>149</v>
      </c>
      <c r="R4" s="77" t="s">
        <v>156</v>
      </c>
      <c r="S4" s="77" t="s">
        <v>157</v>
      </c>
      <c r="T4" s="78" t="s">
        <v>150</v>
      </c>
    </row>
    <row r="5" spans="1:20" s="16" customFormat="1" ht="38.25">
      <c r="A5" s="4" t="s">
        <v>107</v>
      </c>
      <c r="B5" s="5" t="s">
        <v>2</v>
      </c>
      <c r="C5" s="5" t="s">
        <v>72</v>
      </c>
      <c r="D5" s="32">
        <f aca="true" t="shared" si="0" ref="D5:I5">D6+D7</f>
        <v>207025.7</v>
      </c>
      <c r="E5" s="89">
        <f t="shared" si="0"/>
        <v>190317.15833333335</v>
      </c>
      <c r="F5" s="32">
        <f t="shared" si="0"/>
        <v>184219.5</v>
      </c>
      <c r="G5" s="89">
        <f t="shared" si="0"/>
        <v>207171</v>
      </c>
      <c r="H5" s="89">
        <f t="shared" si="0"/>
        <v>146019.30000000002</v>
      </c>
      <c r="I5" s="32">
        <f t="shared" si="0"/>
        <v>175453.69999999998</v>
      </c>
      <c r="J5" s="31">
        <f>SUM(I5/G5)*100</f>
        <v>84.69028001023308</v>
      </c>
      <c r="K5" s="31">
        <f>I5/H5*100</f>
        <v>120.15788323872252</v>
      </c>
      <c r="L5" s="31">
        <f>F5-I5</f>
        <v>8765.800000000017</v>
      </c>
      <c r="M5" s="31">
        <f aca="true" t="shared" si="1" ref="M5:M40">I5/D5*100</f>
        <v>84.74971947927237</v>
      </c>
      <c r="N5" s="53">
        <f>I5/F5*100</f>
        <v>95.24165465653743</v>
      </c>
      <c r="O5" s="8" t="s">
        <v>124</v>
      </c>
      <c r="P5" s="8" t="s">
        <v>124</v>
      </c>
      <c r="Q5" s="32">
        <f>Q6+Q7</f>
        <v>100</v>
      </c>
      <c r="R5" s="32">
        <f>R6+R7</f>
        <v>99.84245434262509</v>
      </c>
      <c r="S5" s="32">
        <f>S6+S7</f>
        <v>94.8424543426251</v>
      </c>
      <c r="T5" s="72">
        <v>2</v>
      </c>
    </row>
    <row r="6" spans="1:19" s="16" customFormat="1" ht="15" customHeight="1">
      <c r="A6" s="104"/>
      <c r="B6" s="104"/>
      <c r="C6" s="6" t="s">
        <v>69</v>
      </c>
      <c r="D6" s="33">
        <v>200502.5</v>
      </c>
      <c r="E6" s="50">
        <f>D6/12*11</f>
        <v>183793.95833333334</v>
      </c>
      <c r="F6" s="33">
        <v>177696.3</v>
      </c>
      <c r="G6" s="50">
        <v>200647.8</v>
      </c>
      <c r="H6" s="50">
        <v>140039.7</v>
      </c>
      <c r="I6" s="34">
        <v>173467.8</v>
      </c>
      <c r="J6" s="28">
        <f>SUM(I6/G6)*100</f>
        <v>86.45387589597294</v>
      </c>
      <c r="K6" s="28">
        <f>I6/H6*100</f>
        <v>123.87044530943723</v>
      </c>
      <c r="L6" s="28">
        <f aca="true" t="shared" si="2" ref="L6:L15">F6-I6</f>
        <v>4228.5</v>
      </c>
      <c r="M6" s="28">
        <f t="shared" si="1"/>
        <v>86.51652722534631</v>
      </c>
      <c r="N6" s="28">
        <f>I6/F6*100</f>
        <v>97.62037813955608</v>
      </c>
      <c r="O6" s="22">
        <f>N6-100</f>
        <v>-2.379621860443919</v>
      </c>
      <c r="P6" s="22">
        <f>M6-95</f>
        <v>-8.483472774653691</v>
      </c>
      <c r="Q6" s="22">
        <f>D6/D5*100</f>
        <v>96.84908685250188</v>
      </c>
      <c r="R6" s="22">
        <f>Q6/100*100</f>
        <v>96.84908685250188</v>
      </c>
      <c r="S6" s="22">
        <f>Q6/100*95</f>
        <v>92.0066325098768</v>
      </c>
    </row>
    <row r="7" spans="1:19" s="16" customFormat="1" ht="28.5" customHeight="1">
      <c r="A7" s="104"/>
      <c r="B7" s="104"/>
      <c r="C7" s="6" t="s">
        <v>71</v>
      </c>
      <c r="D7" s="34">
        <v>6523.2</v>
      </c>
      <c r="E7" s="34">
        <v>6523.2</v>
      </c>
      <c r="F7" s="34">
        <v>6523.2</v>
      </c>
      <c r="G7" s="51">
        <v>6523.2</v>
      </c>
      <c r="H7" s="51">
        <f>D7/12*11</f>
        <v>5979.6</v>
      </c>
      <c r="I7" s="34">
        <v>1985.9</v>
      </c>
      <c r="J7" s="28">
        <f>SUM(I7/G7)*100</f>
        <v>30.44364728967378</v>
      </c>
      <c r="K7" s="28">
        <f>I7/H7*100</f>
        <v>33.21125158873503</v>
      </c>
      <c r="L7" s="28">
        <f t="shared" si="2"/>
        <v>4537.299999999999</v>
      </c>
      <c r="M7" s="28">
        <f t="shared" si="1"/>
        <v>30.44364728967378</v>
      </c>
      <c r="N7" s="28">
        <f>I7/F7*100</f>
        <v>30.44364728967378</v>
      </c>
      <c r="O7" s="22">
        <f>N7-95</f>
        <v>-64.55635271032622</v>
      </c>
      <c r="P7" s="22">
        <f>M7-95</f>
        <v>-64.55635271032622</v>
      </c>
      <c r="Q7" s="22">
        <f>100-Q6</f>
        <v>3.150913147498116</v>
      </c>
      <c r="R7" s="22">
        <f>Q7/100*95</f>
        <v>2.99336749012321</v>
      </c>
      <c r="S7" s="22">
        <f>Q7/100*90</f>
        <v>2.8358218327483047</v>
      </c>
    </row>
    <row r="8" spans="1:20" s="23" customFormat="1" ht="27" customHeight="1">
      <c r="A8" s="4" t="s">
        <v>108</v>
      </c>
      <c r="B8" s="5" t="s">
        <v>132</v>
      </c>
      <c r="C8" s="5" t="s">
        <v>131</v>
      </c>
      <c r="D8" s="32">
        <f aca="true" t="shared" si="3" ref="D8:I8">D9</f>
        <v>55.8</v>
      </c>
      <c r="E8" s="89">
        <f aca="true" t="shared" si="4" ref="E8:E71">D8/12*11</f>
        <v>51.14999999999999</v>
      </c>
      <c r="F8" s="32">
        <f t="shared" si="3"/>
        <v>55.8</v>
      </c>
      <c r="G8" s="89">
        <f t="shared" si="3"/>
        <v>55.8</v>
      </c>
      <c r="H8" s="89">
        <f t="shared" si="3"/>
        <v>55.8</v>
      </c>
      <c r="I8" s="32">
        <f t="shared" si="3"/>
        <v>55.8</v>
      </c>
      <c r="J8" s="31">
        <f>SUM(I8/G8)*100</f>
        <v>100</v>
      </c>
      <c r="K8" s="31">
        <f aca="true" t="shared" si="5" ref="K8:K71">I8/H8*100</f>
        <v>100</v>
      </c>
      <c r="L8" s="31">
        <f t="shared" si="2"/>
        <v>0</v>
      </c>
      <c r="M8" s="31">
        <f t="shared" si="1"/>
        <v>100</v>
      </c>
      <c r="N8" s="31">
        <f aca="true" t="shared" si="6" ref="N8:N72">I8/F8*100</f>
        <v>100</v>
      </c>
      <c r="O8" s="8" t="s">
        <v>124</v>
      </c>
      <c r="P8" s="8" t="s">
        <v>124</v>
      </c>
      <c r="Q8" s="32">
        <f>Q9</f>
        <v>100</v>
      </c>
      <c r="R8" s="32">
        <f>R9</f>
        <v>100</v>
      </c>
      <c r="S8" s="32">
        <f>S9</f>
        <v>95</v>
      </c>
      <c r="T8" s="72">
        <v>3</v>
      </c>
    </row>
    <row r="9" spans="1:19" s="23" customFormat="1" ht="15" customHeight="1">
      <c r="A9" s="105"/>
      <c r="B9" s="106"/>
      <c r="C9" s="6" t="s">
        <v>69</v>
      </c>
      <c r="D9" s="34">
        <v>55.8</v>
      </c>
      <c r="E9" s="51">
        <f t="shared" si="4"/>
        <v>51.14999999999999</v>
      </c>
      <c r="F9" s="34">
        <v>55.8</v>
      </c>
      <c r="G9" s="51">
        <v>55.8</v>
      </c>
      <c r="H9" s="51">
        <v>55.8</v>
      </c>
      <c r="I9" s="34">
        <v>55.8</v>
      </c>
      <c r="J9" s="28">
        <f>SUM(I9/G9)*100</f>
        <v>100</v>
      </c>
      <c r="K9" s="28">
        <f t="shared" si="5"/>
        <v>100</v>
      </c>
      <c r="L9" s="28">
        <f t="shared" si="2"/>
        <v>0</v>
      </c>
      <c r="M9" s="28">
        <f t="shared" si="1"/>
        <v>100</v>
      </c>
      <c r="N9" s="28">
        <f t="shared" si="6"/>
        <v>100</v>
      </c>
      <c r="O9" s="22">
        <f>K9-100</f>
        <v>0</v>
      </c>
      <c r="P9" s="22">
        <f>M9-95</f>
        <v>5</v>
      </c>
      <c r="Q9" s="22">
        <f>D9/D8*100</f>
        <v>100</v>
      </c>
      <c r="R9" s="22">
        <f>Q9/100*100</f>
        <v>100</v>
      </c>
      <c r="S9" s="22">
        <f>Q9/100*95</f>
        <v>95</v>
      </c>
    </row>
    <row r="10" spans="1:20" s="16" customFormat="1" ht="27" customHeight="1">
      <c r="A10" s="4" t="s">
        <v>109</v>
      </c>
      <c r="B10" s="5" t="s">
        <v>3</v>
      </c>
      <c r="C10" s="5" t="s">
        <v>112</v>
      </c>
      <c r="D10" s="32">
        <f>SUM(D11:D12)</f>
        <v>1057823.2</v>
      </c>
      <c r="E10" s="89">
        <f t="shared" si="4"/>
        <v>969671.2666666667</v>
      </c>
      <c r="F10" s="31">
        <f>SUM(F11:F12)</f>
        <v>1057823.2</v>
      </c>
      <c r="G10" s="89">
        <f>SUM(G11:G12)</f>
        <v>1100262.8</v>
      </c>
      <c r="H10" s="89">
        <f>SUM(H11:H12)</f>
        <v>907264.6083333333</v>
      </c>
      <c r="I10" s="32">
        <f>SUM(I11:I12)</f>
        <v>989169.9</v>
      </c>
      <c r="J10" s="31">
        <f>I10/G10*100</f>
        <v>89.9030577058499</v>
      </c>
      <c r="K10" s="31">
        <f t="shared" si="5"/>
        <v>109.02771814466881</v>
      </c>
      <c r="L10" s="31">
        <f t="shared" si="2"/>
        <v>68653.29999999993</v>
      </c>
      <c r="M10" s="31">
        <f t="shared" si="1"/>
        <v>93.5099457073734</v>
      </c>
      <c r="N10" s="31">
        <f t="shared" si="6"/>
        <v>93.5099457073734</v>
      </c>
      <c r="O10" s="8" t="s">
        <v>124</v>
      </c>
      <c r="P10" s="8" t="s">
        <v>124</v>
      </c>
      <c r="Q10" s="32">
        <f>SUM(Q11:Q12)</f>
        <v>100</v>
      </c>
      <c r="R10" s="32">
        <f>SUM(R11:R12)</f>
        <v>98.80867662951616</v>
      </c>
      <c r="S10" s="32">
        <f>SUM(S11:S12)</f>
        <v>93.80867662951617</v>
      </c>
      <c r="T10" s="72"/>
    </row>
    <row r="11" spans="1:19" s="16" customFormat="1" ht="15.75" customHeight="1">
      <c r="A11" s="104"/>
      <c r="B11" s="104"/>
      <c r="C11" s="6" t="s">
        <v>69</v>
      </c>
      <c r="D11" s="34">
        <v>805781.3</v>
      </c>
      <c r="E11" s="51">
        <f t="shared" si="4"/>
        <v>738632.8583333333</v>
      </c>
      <c r="F11" s="34">
        <v>805781.3</v>
      </c>
      <c r="G11" s="51">
        <v>848220.9</v>
      </c>
      <c r="H11" s="51">
        <v>676226.2</v>
      </c>
      <c r="I11" s="34">
        <v>737134.9</v>
      </c>
      <c r="J11" s="28">
        <f>SUM(I11/G11)*100</f>
        <v>86.903647387137</v>
      </c>
      <c r="K11" s="28">
        <f t="shared" si="5"/>
        <v>109.00714879133639</v>
      </c>
      <c r="L11" s="28">
        <f t="shared" si="2"/>
        <v>68646.40000000002</v>
      </c>
      <c r="M11" s="28">
        <f t="shared" si="1"/>
        <v>91.48076531436011</v>
      </c>
      <c r="N11" s="28">
        <f t="shared" si="6"/>
        <v>91.48076531436011</v>
      </c>
      <c r="O11" s="22">
        <f>N11-100</f>
        <v>-8.519234685639887</v>
      </c>
      <c r="P11" s="22">
        <f>M11-95</f>
        <v>-3.519234685639887</v>
      </c>
      <c r="Q11" s="22">
        <f>D11/D10*100</f>
        <v>76.17353259032323</v>
      </c>
      <c r="R11" s="22">
        <f>Q11/100*100</f>
        <v>76.17353259032323</v>
      </c>
      <c r="S11" s="22">
        <f>Q11/100*95</f>
        <v>72.36485596080708</v>
      </c>
    </row>
    <row r="12" spans="1:19" s="16" customFormat="1" ht="16.5" customHeight="1">
      <c r="A12" s="104"/>
      <c r="B12" s="104"/>
      <c r="C12" s="6" t="s">
        <v>70</v>
      </c>
      <c r="D12" s="34">
        <v>252041.9</v>
      </c>
      <c r="E12" s="34">
        <v>252041.9</v>
      </c>
      <c r="F12" s="34">
        <v>252041.9</v>
      </c>
      <c r="G12" s="51">
        <v>252041.9</v>
      </c>
      <c r="H12" s="51">
        <f>D12/12*11</f>
        <v>231038.40833333333</v>
      </c>
      <c r="I12" s="34">
        <v>252035</v>
      </c>
      <c r="J12" s="28">
        <f>I12/G12*100</f>
        <v>99.99726235994888</v>
      </c>
      <c r="K12" s="28">
        <f t="shared" si="5"/>
        <v>109.0879225744897</v>
      </c>
      <c r="L12" s="28">
        <f t="shared" si="2"/>
        <v>6.899999999994179</v>
      </c>
      <c r="M12" s="28">
        <f t="shared" si="1"/>
        <v>99.99726235994888</v>
      </c>
      <c r="N12" s="28">
        <f t="shared" si="6"/>
        <v>99.99726235994888</v>
      </c>
      <c r="O12" s="22">
        <f>N12-95</f>
        <v>4.997262359948877</v>
      </c>
      <c r="P12" s="22">
        <f>M12-95</f>
        <v>4.997262359948877</v>
      </c>
      <c r="Q12" s="22">
        <f>100-Q11</f>
        <v>23.826467409676766</v>
      </c>
      <c r="R12" s="22">
        <f>Q12/100*95</f>
        <v>22.635144039192927</v>
      </c>
      <c r="S12" s="22">
        <f>Q12/100*90</f>
        <v>21.44382066870909</v>
      </c>
    </row>
    <row r="13" spans="1:20" s="16" customFormat="1" ht="27" customHeight="1">
      <c r="A13" s="4" t="s">
        <v>110</v>
      </c>
      <c r="B13" s="5" t="s">
        <v>0</v>
      </c>
      <c r="C13" s="5" t="s">
        <v>111</v>
      </c>
      <c r="D13" s="32">
        <f>D15</f>
        <v>527997.4</v>
      </c>
      <c r="E13" s="89">
        <f t="shared" si="4"/>
        <v>483997.61666666664</v>
      </c>
      <c r="F13" s="32">
        <f>F15</f>
        <v>527257.8</v>
      </c>
      <c r="G13" s="89">
        <f>G15</f>
        <v>587441.4</v>
      </c>
      <c r="H13" s="89">
        <f>H15</f>
        <v>473282.89999999997</v>
      </c>
      <c r="I13" s="32">
        <f>I15</f>
        <v>506759.39999999997</v>
      </c>
      <c r="J13" s="31">
        <f>SUM(I13/G13)*100</f>
        <v>86.26552367606368</v>
      </c>
      <c r="K13" s="31">
        <f t="shared" si="5"/>
        <v>107.07325365019527</v>
      </c>
      <c r="L13" s="31">
        <f t="shared" si="2"/>
        <v>20498.40000000008</v>
      </c>
      <c r="M13" s="31">
        <f t="shared" si="1"/>
        <v>95.97763170803492</v>
      </c>
      <c r="N13" s="31">
        <f t="shared" si="6"/>
        <v>96.11226235059964</v>
      </c>
      <c r="O13" s="8" t="s">
        <v>124</v>
      </c>
      <c r="P13" s="8" t="s">
        <v>124</v>
      </c>
      <c r="Q13" s="32">
        <f>Q15</f>
        <v>100</v>
      </c>
      <c r="R13" s="32">
        <f>R15</f>
        <v>100</v>
      </c>
      <c r="S13" s="32">
        <f>S15</f>
        <v>95</v>
      </c>
      <c r="T13" s="102" t="s">
        <v>153</v>
      </c>
    </row>
    <row r="14" spans="1:20" s="16" customFormat="1" ht="25.5">
      <c r="A14" s="104"/>
      <c r="B14" s="104"/>
      <c r="C14" s="6" t="s">
        <v>121</v>
      </c>
      <c r="D14" s="34">
        <f>93993.3+391003</f>
        <v>484996.3</v>
      </c>
      <c r="E14" s="51">
        <f t="shared" si="4"/>
        <v>444579.94166666665</v>
      </c>
      <c r="F14" s="34">
        <v>484256.7</v>
      </c>
      <c r="G14" s="51">
        <f>93993.3+391003</f>
        <v>484996.3</v>
      </c>
      <c r="H14" s="51">
        <f>78966.3+358419.6</f>
        <v>437385.89999999997</v>
      </c>
      <c r="I14" s="34">
        <v>480459.1</v>
      </c>
      <c r="J14" s="28">
        <f>SUM(I14/G14)*100</f>
        <v>99.06448770846292</v>
      </c>
      <c r="K14" s="28">
        <f t="shared" si="5"/>
        <v>109.84787118194713</v>
      </c>
      <c r="L14" s="28">
        <f t="shared" si="2"/>
        <v>3797.600000000035</v>
      </c>
      <c r="M14" s="28">
        <f t="shared" si="1"/>
        <v>99.06448770846292</v>
      </c>
      <c r="N14" s="28">
        <f t="shared" si="6"/>
        <v>99.21578782492838</v>
      </c>
      <c r="O14" s="22">
        <f>N14-100</f>
        <v>-0.784212175071616</v>
      </c>
      <c r="P14" s="22">
        <f aca="true" t="shared" si="7" ref="P14:P19">M14-95</f>
        <v>4.06448770846292</v>
      </c>
      <c r="Q14" s="22">
        <f>D14/D13*100</f>
        <v>91.85581216877203</v>
      </c>
      <c r="R14" s="22">
        <f>Q14/100*100</f>
        <v>91.85581216877203</v>
      </c>
      <c r="S14" s="22">
        <f>Q14/100*95</f>
        <v>87.26302156033343</v>
      </c>
      <c r="T14" s="103"/>
    </row>
    <row r="15" spans="1:19" s="16" customFormat="1" ht="25.5">
      <c r="A15" s="104"/>
      <c r="B15" s="104"/>
      <c r="C15" s="24" t="s">
        <v>120</v>
      </c>
      <c r="D15" s="35">
        <f>D16+D17+D18+D19+D14</f>
        <v>527997.4</v>
      </c>
      <c r="E15" s="90">
        <f t="shared" si="4"/>
        <v>483997.61666666664</v>
      </c>
      <c r="F15" s="35">
        <f>F16+F17+F18+F19+F14</f>
        <v>527257.8</v>
      </c>
      <c r="G15" s="90">
        <f>G16+G17+G18+G19+G14</f>
        <v>587441.4</v>
      </c>
      <c r="H15" s="90">
        <f>H16+H17+H18+H19+H14</f>
        <v>473282.89999999997</v>
      </c>
      <c r="I15" s="35">
        <f>I16+I17+I18+I19+I14</f>
        <v>506759.39999999997</v>
      </c>
      <c r="J15" s="36">
        <f>SUM(I15/G15)*100</f>
        <v>86.26552367606368</v>
      </c>
      <c r="K15" s="54">
        <f t="shared" si="5"/>
        <v>107.07325365019527</v>
      </c>
      <c r="L15" s="54">
        <f t="shared" si="2"/>
        <v>20498.40000000008</v>
      </c>
      <c r="M15" s="54">
        <f t="shared" si="1"/>
        <v>95.97763170803492</v>
      </c>
      <c r="N15" s="54">
        <f t="shared" si="6"/>
        <v>96.11226235059964</v>
      </c>
      <c r="O15" s="55">
        <f>N15-100</f>
        <v>-3.887737649400364</v>
      </c>
      <c r="P15" s="55">
        <f t="shared" si="7"/>
        <v>0.9776317080349202</v>
      </c>
      <c r="Q15" s="22">
        <f>D15/D13*100</f>
        <v>100</v>
      </c>
      <c r="R15" s="22">
        <f>Q15/100*100</f>
        <v>100</v>
      </c>
      <c r="S15" s="22">
        <f>Q15/100*95</f>
        <v>95</v>
      </c>
    </row>
    <row r="16" spans="1:19" s="16" customFormat="1" ht="13.5" customHeight="1">
      <c r="A16" s="104"/>
      <c r="B16" s="104"/>
      <c r="C16" s="44" t="s">
        <v>115</v>
      </c>
      <c r="D16" s="45">
        <v>16710.6</v>
      </c>
      <c r="E16" s="45">
        <v>16710.6</v>
      </c>
      <c r="F16" s="45">
        <v>16710.6</v>
      </c>
      <c r="G16" s="91">
        <v>16710.6</v>
      </c>
      <c r="H16" s="91">
        <v>0</v>
      </c>
      <c r="I16" s="45">
        <v>15517.3</v>
      </c>
      <c r="J16" s="46"/>
      <c r="K16" s="46">
        <v>0</v>
      </c>
      <c r="L16" s="46">
        <f>F16-I16</f>
        <v>1193.2999999999993</v>
      </c>
      <c r="M16" s="46">
        <f t="shared" si="1"/>
        <v>92.85902361375415</v>
      </c>
      <c r="N16" s="46">
        <f t="shared" si="6"/>
        <v>92.85902361375415</v>
      </c>
      <c r="O16" s="47">
        <f>N16-100</f>
        <v>-7.140976386245853</v>
      </c>
      <c r="P16" s="47">
        <f t="shared" si="7"/>
        <v>-2.1409763862458533</v>
      </c>
      <c r="Q16" s="62"/>
      <c r="R16" s="62"/>
      <c r="S16" s="62"/>
    </row>
    <row r="17" spans="1:19" s="16" customFormat="1" ht="14.25" customHeight="1">
      <c r="A17" s="104"/>
      <c r="B17" s="104"/>
      <c r="C17" s="44" t="s">
        <v>116</v>
      </c>
      <c r="D17" s="45">
        <v>12007.7</v>
      </c>
      <c r="E17" s="45">
        <v>12007.7</v>
      </c>
      <c r="F17" s="45">
        <v>12007.7</v>
      </c>
      <c r="G17" s="91">
        <v>55155.9</v>
      </c>
      <c r="H17" s="91">
        <v>27573</v>
      </c>
      <c r="I17" s="45">
        <v>8230.7</v>
      </c>
      <c r="J17" s="46">
        <f>SUM(I17/G17)*100</f>
        <v>14.922610273787573</v>
      </c>
      <c r="K17" s="46">
        <f t="shared" si="5"/>
        <v>29.850578464439852</v>
      </c>
      <c r="L17" s="46">
        <f>F17-I17</f>
        <v>3777</v>
      </c>
      <c r="M17" s="46">
        <f t="shared" si="1"/>
        <v>68.54518350724952</v>
      </c>
      <c r="N17" s="46">
        <f t="shared" si="6"/>
        <v>68.54518350724952</v>
      </c>
      <c r="O17" s="47">
        <f>N17-100</f>
        <v>-31.45481649275048</v>
      </c>
      <c r="P17" s="47">
        <f t="shared" si="7"/>
        <v>-26.45481649275048</v>
      </c>
      <c r="Q17" s="62"/>
      <c r="R17" s="62"/>
      <c r="S17" s="62"/>
    </row>
    <row r="18" spans="1:19" s="16" customFormat="1" ht="14.25" customHeight="1">
      <c r="A18" s="104"/>
      <c r="B18" s="104"/>
      <c r="C18" s="44" t="s">
        <v>134</v>
      </c>
      <c r="D18" s="45">
        <v>2552.3</v>
      </c>
      <c r="E18" s="45">
        <v>2552.3</v>
      </c>
      <c r="F18" s="45">
        <v>2552.3</v>
      </c>
      <c r="G18" s="91">
        <v>2552.3</v>
      </c>
      <c r="H18" s="91">
        <v>2552.3</v>
      </c>
      <c r="I18" s="45">
        <v>2552.3</v>
      </c>
      <c r="J18" s="46">
        <f>SUM(I18/G18)*100</f>
        <v>100</v>
      </c>
      <c r="K18" s="46">
        <f t="shared" si="5"/>
        <v>100</v>
      </c>
      <c r="L18" s="46">
        <f>F18-I18</f>
        <v>0</v>
      </c>
      <c r="M18" s="46">
        <f t="shared" si="1"/>
        <v>100</v>
      </c>
      <c r="N18" s="46">
        <f t="shared" si="6"/>
        <v>100</v>
      </c>
      <c r="O18" s="47">
        <f>N18-100</f>
        <v>0</v>
      </c>
      <c r="P18" s="47">
        <f t="shared" si="7"/>
        <v>5</v>
      </c>
      <c r="Q18" s="62"/>
      <c r="R18" s="62"/>
      <c r="S18" s="62"/>
    </row>
    <row r="19" spans="1:19" s="16" customFormat="1" ht="14.25" customHeight="1">
      <c r="A19" s="104"/>
      <c r="B19" s="104"/>
      <c r="C19" s="44" t="s">
        <v>117</v>
      </c>
      <c r="D19" s="45">
        <f>11784.9-54.4</f>
        <v>11730.5</v>
      </c>
      <c r="E19" s="45">
        <f>11784.9-54.4</f>
        <v>11730.5</v>
      </c>
      <c r="F19" s="45">
        <f>11784.9-54.4</f>
        <v>11730.5</v>
      </c>
      <c r="G19" s="91">
        <v>28026.3</v>
      </c>
      <c r="H19" s="91">
        <v>5771.7</v>
      </c>
      <c r="I19" s="45">
        <v>0</v>
      </c>
      <c r="J19" s="46"/>
      <c r="K19" s="46">
        <f t="shared" si="5"/>
        <v>0</v>
      </c>
      <c r="L19" s="46">
        <f>F19-I19</f>
        <v>11730.5</v>
      </c>
      <c r="M19" s="46">
        <f t="shared" si="1"/>
        <v>0</v>
      </c>
      <c r="N19" s="46">
        <f t="shared" si="6"/>
        <v>0</v>
      </c>
      <c r="O19" s="47"/>
      <c r="P19" s="47">
        <f t="shared" si="7"/>
        <v>-95</v>
      </c>
      <c r="Q19" s="62"/>
      <c r="R19" s="62"/>
      <c r="S19" s="62"/>
    </row>
    <row r="20" spans="1:20" s="16" customFormat="1" ht="38.25">
      <c r="A20" s="4" t="s">
        <v>4</v>
      </c>
      <c r="B20" s="5" t="s">
        <v>5</v>
      </c>
      <c r="C20" s="5" t="s">
        <v>73</v>
      </c>
      <c r="D20" s="32">
        <f>D21+D22</f>
        <v>381473.3</v>
      </c>
      <c r="E20" s="89">
        <f t="shared" si="4"/>
        <v>349683.85833333334</v>
      </c>
      <c r="F20" s="32">
        <f>F21+F22</f>
        <v>315580.8</v>
      </c>
      <c r="G20" s="89">
        <f>G21+G22</f>
        <v>544016.4</v>
      </c>
      <c r="H20" s="89">
        <f>H21+H22</f>
        <v>207043.59999999998</v>
      </c>
      <c r="I20" s="32">
        <f>I21+I22</f>
        <v>307049.1</v>
      </c>
      <c r="J20" s="31">
        <f aca="true" t="shared" si="8" ref="J20:J29">SUM(I20/G20)*100</f>
        <v>56.44114773010519</v>
      </c>
      <c r="K20" s="31">
        <f t="shared" si="5"/>
        <v>148.3016620653814</v>
      </c>
      <c r="L20" s="31">
        <f>F20-I20</f>
        <v>8531.700000000012</v>
      </c>
      <c r="M20" s="31">
        <f t="shared" si="1"/>
        <v>80.4903252730925</v>
      </c>
      <c r="N20" s="31">
        <f t="shared" si="6"/>
        <v>97.2965085328385</v>
      </c>
      <c r="O20" s="8" t="s">
        <v>124</v>
      </c>
      <c r="P20" s="8" t="s">
        <v>124</v>
      </c>
      <c r="Q20" s="32">
        <f>Q21+Q22</f>
        <v>100</v>
      </c>
      <c r="R20" s="32">
        <f>R21+R22</f>
        <v>99.93918578312034</v>
      </c>
      <c r="S20" s="32">
        <f>S21+S22</f>
        <v>94.93918578312034</v>
      </c>
      <c r="T20" s="72">
        <v>2</v>
      </c>
    </row>
    <row r="21" spans="1:19" s="16" customFormat="1" ht="15.75" customHeight="1">
      <c r="A21" s="104"/>
      <c r="B21" s="104"/>
      <c r="C21" s="6" t="s">
        <v>69</v>
      </c>
      <c r="D21" s="34">
        <v>376833.5</v>
      </c>
      <c r="E21" s="51">
        <f t="shared" si="4"/>
        <v>345430.7083333334</v>
      </c>
      <c r="F21" s="34">
        <v>310941</v>
      </c>
      <c r="G21" s="51">
        <v>539376.6</v>
      </c>
      <c r="H21" s="51">
        <v>202403.8</v>
      </c>
      <c r="I21" s="34">
        <v>303770.1</v>
      </c>
      <c r="J21" s="28">
        <f t="shared" si="8"/>
        <v>56.31873907766855</v>
      </c>
      <c r="K21" s="28">
        <f t="shared" si="5"/>
        <v>150.08122377149044</v>
      </c>
      <c r="L21" s="28">
        <f aca="true" t="shared" si="9" ref="L21:L84">F21-I21</f>
        <v>7170.900000000023</v>
      </c>
      <c r="M21" s="28">
        <f t="shared" si="1"/>
        <v>80.61122485129374</v>
      </c>
      <c r="N21" s="28">
        <f t="shared" si="6"/>
        <v>97.69380686368153</v>
      </c>
      <c r="O21" s="22">
        <f>N21-100</f>
        <v>-2.30619313631847</v>
      </c>
      <c r="P21" s="22">
        <f>M21-95</f>
        <v>-14.388775148706259</v>
      </c>
      <c r="Q21" s="22">
        <f>D21/D20*100</f>
        <v>98.78371566240678</v>
      </c>
      <c r="R21" s="22">
        <f>Q21/100*100</f>
        <v>98.78371566240678</v>
      </c>
      <c r="S21" s="22">
        <f>Q21/100*95</f>
        <v>93.84452987928644</v>
      </c>
    </row>
    <row r="22" spans="1:19" s="16" customFormat="1" ht="27.75" customHeight="1">
      <c r="A22" s="104"/>
      <c r="B22" s="104"/>
      <c r="C22" s="6" t="s">
        <v>71</v>
      </c>
      <c r="D22" s="34">
        <v>4639.8</v>
      </c>
      <c r="E22" s="34">
        <v>4639.8</v>
      </c>
      <c r="F22" s="34">
        <v>4639.8</v>
      </c>
      <c r="G22" s="34">
        <v>4639.8</v>
      </c>
      <c r="H22" s="34">
        <v>4639.8</v>
      </c>
      <c r="I22" s="34">
        <v>3279</v>
      </c>
      <c r="J22" s="28">
        <f t="shared" si="8"/>
        <v>70.67114961851803</v>
      </c>
      <c r="K22" s="28">
        <f t="shared" si="5"/>
        <v>70.67114961851803</v>
      </c>
      <c r="L22" s="28">
        <f t="shared" si="9"/>
        <v>1360.8000000000002</v>
      </c>
      <c r="M22" s="28">
        <f t="shared" si="1"/>
        <v>70.67114961851803</v>
      </c>
      <c r="N22" s="28">
        <f t="shared" si="6"/>
        <v>70.67114961851803</v>
      </c>
      <c r="O22" s="22">
        <f>N22-95</f>
        <v>-24.32885038148197</v>
      </c>
      <c r="P22" s="22">
        <f>M22-95</f>
        <v>-24.32885038148197</v>
      </c>
      <c r="Q22" s="22">
        <f>100-Q21</f>
        <v>1.2162843375932226</v>
      </c>
      <c r="R22" s="22">
        <f>Q22/100*95</f>
        <v>1.1554701207135614</v>
      </c>
      <c r="S22" s="22">
        <f>Q22/100*90</f>
        <v>1.0946559038339003</v>
      </c>
    </row>
    <row r="23" spans="1:20" s="16" customFormat="1" ht="38.25">
      <c r="A23" s="4" t="s">
        <v>140</v>
      </c>
      <c r="B23" s="5" t="s">
        <v>141</v>
      </c>
      <c r="C23" s="5" t="s">
        <v>143</v>
      </c>
      <c r="D23" s="32">
        <f>D24</f>
        <v>178354.8</v>
      </c>
      <c r="E23" s="89">
        <f t="shared" si="4"/>
        <v>163491.9</v>
      </c>
      <c r="F23" s="32">
        <f>F24</f>
        <v>178313.4</v>
      </c>
      <c r="G23" s="89">
        <f>G24</f>
        <v>2522.7</v>
      </c>
      <c r="H23" s="89">
        <f>H24</f>
        <v>1231.5</v>
      </c>
      <c r="I23" s="32">
        <f>I24</f>
        <v>171202.6</v>
      </c>
      <c r="J23" s="31">
        <f t="shared" si="8"/>
        <v>6786.4827367503085</v>
      </c>
      <c r="K23" s="31">
        <f t="shared" si="5"/>
        <v>13901.95696305319</v>
      </c>
      <c r="L23" s="31">
        <f t="shared" si="9"/>
        <v>7110.799999999988</v>
      </c>
      <c r="M23" s="31">
        <f t="shared" si="1"/>
        <v>95.98990327145668</v>
      </c>
      <c r="N23" s="31">
        <f t="shared" si="6"/>
        <v>96.01218977373547</v>
      </c>
      <c r="O23" s="8" t="s">
        <v>124</v>
      </c>
      <c r="P23" s="8" t="s">
        <v>124</v>
      </c>
      <c r="Q23" s="69">
        <f>Q24</f>
        <v>100</v>
      </c>
      <c r="R23" s="69">
        <f>R24</f>
        <v>100</v>
      </c>
      <c r="S23" s="69">
        <f>S24</f>
        <v>95</v>
      </c>
      <c r="T23" s="72">
        <v>1</v>
      </c>
    </row>
    <row r="24" spans="1:19" s="16" customFormat="1" ht="15.75" customHeight="1">
      <c r="A24" s="104"/>
      <c r="B24" s="104"/>
      <c r="C24" s="6" t="s">
        <v>69</v>
      </c>
      <c r="D24" s="34">
        <v>178354.8</v>
      </c>
      <c r="E24" s="51">
        <f t="shared" si="4"/>
        <v>163491.9</v>
      </c>
      <c r="F24" s="34">
        <v>178313.4</v>
      </c>
      <c r="G24" s="51">
        <v>2522.7</v>
      </c>
      <c r="H24" s="51">
        <v>1231.5</v>
      </c>
      <c r="I24" s="34">
        <v>171202.6</v>
      </c>
      <c r="J24" s="28">
        <f t="shared" si="8"/>
        <v>6786.4827367503085</v>
      </c>
      <c r="K24" s="28">
        <f t="shared" si="5"/>
        <v>13901.95696305319</v>
      </c>
      <c r="L24" s="28">
        <f t="shared" si="9"/>
        <v>7110.799999999988</v>
      </c>
      <c r="M24" s="28">
        <f t="shared" si="1"/>
        <v>95.98990327145668</v>
      </c>
      <c r="N24" s="28">
        <f t="shared" si="6"/>
        <v>96.01218977373547</v>
      </c>
      <c r="O24" s="22">
        <f>N24-100</f>
        <v>-3.9878102262645285</v>
      </c>
      <c r="P24" s="22">
        <f>M24-95</f>
        <v>0.9899032714566829</v>
      </c>
      <c r="Q24" s="22">
        <f>D24/D23*100</f>
        <v>100</v>
      </c>
      <c r="R24" s="22">
        <f>Q24/100*100</f>
        <v>100</v>
      </c>
      <c r="S24" s="22">
        <f>Q24/100*95</f>
        <v>95</v>
      </c>
    </row>
    <row r="25" spans="1:20" s="16" customFormat="1" ht="38.25">
      <c r="A25" s="4" t="s">
        <v>6</v>
      </c>
      <c r="B25" s="5" t="s">
        <v>7</v>
      </c>
      <c r="C25" s="5" t="s">
        <v>74</v>
      </c>
      <c r="D25" s="32">
        <f>D26+D27</f>
        <v>85732.5</v>
      </c>
      <c r="E25" s="89">
        <f t="shared" si="4"/>
        <v>78588.125</v>
      </c>
      <c r="F25" s="32">
        <f>F26+F27</f>
        <v>83505.1</v>
      </c>
      <c r="G25" s="89">
        <f>G26+G27</f>
        <v>94348.40000000001</v>
      </c>
      <c r="H25" s="89">
        <f>H26+H27</f>
        <v>63066.4</v>
      </c>
      <c r="I25" s="32">
        <f>I26+I27</f>
        <v>81780.1</v>
      </c>
      <c r="J25" s="31">
        <f t="shared" si="8"/>
        <v>86.67884140059608</v>
      </c>
      <c r="K25" s="31">
        <f t="shared" si="5"/>
        <v>129.6730113023734</v>
      </c>
      <c r="L25" s="31">
        <f t="shared" si="9"/>
        <v>1725</v>
      </c>
      <c r="M25" s="31">
        <f t="shared" si="1"/>
        <v>95.38984632432276</v>
      </c>
      <c r="N25" s="31">
        <f t="shared" si="6"/>
        <v>97.93425790760085</v>
      </c>
      <c r="O25" s="8" t="s">
        <v>124</v>
      </c>
      <c r="P25" s="8" t="s">
        <v>124</v>
      </c>
      <c r="Q25" s="69">
        <f>Q26+Q27</f>
        <v>100</v>
      </c>
      <c r="R25" s="69">
        <f>R26+R27</f>
        <v>99.9699588837372</v>
      </c>
      <c r="S25" s="69">
        <f>S26+S27</f>
        <v>94.9699588837372</v>
      </c>
      <c r="T25" s="72">
        <v>1</v>
      </c>
    </row>
    <row r="26" spans="1:19" s="16" customFormat="1" ht="15" customHeight="1">
      <c r="A26" s="104"/>
      <c r="B26" s="104"/>
      <c r="C26" s="6" t="s">
        <v>69</v>
      </c>
      <c r="D26" s="34">
        <v>85217.4</v>
      </c>
      <c r="E26" s="51">
        <f t="shared" si="4"/>
        <v>78115.95</v>
      </c>
      <c r="F26" s="34">
        <v>82990</v>
      </c>
      <c r="G26" s="51">
        <v>93833.3</v>
      </c>
      <c r="H26" s="51">
        <v>62551.3</v>
      </c>
      <c r="I26" s="34">
        <v>81583</v>
      </c>
      <c r="J26" s="28">
        <f t="shared" si="8"/>
        <v>86.94461347943641</v>
      </c>
      <c r="K26" s="28">
        <f t="shared" si="5"/>
        <v>130.425746547234</v>
      </c>
      <c r="L26" s="28">
        <f t="shared" si="9"/>
        <v>1407</v>
      </c>
      <c r="M26" s="28">
        <f t="shared" si="1"/>
        <v>95.73514329233232</v>
      </c>
      <c r="N26" s="28">
        <f t="shared" si="6"/>
        <v>98.30461501385709</v>
      </c>
      <c r="O26" s="22">
        <f>N26-100</f>
        <v>-1.695384986142912</v>
      </c>
      <c r="P26" s="22">
        <f>M26-95</f>
        <v>0.7351432923323244</v>
      </c>
      <c r="Q26" s="22">
        <f>D26/D25*100</f>
        <v>99.39917767474411</v>
      </c>
      <c r="R26" s="22">
        <f>Q26/100*100</f>
        <v>99.39917767474411</v>
      </c>
      <c r="S26" s="22">
        <f>Q26/100*95</f>
        <v>94.4292187910069</v>
      </c>
    </row>
    <row r="27" spans="1:19" s="16" customFormat="1" ht="27.75" customHeight="1">
      <c r="A27" s="104"/>
      <c r="B27" s="104"/>
      <c r="C27" s="6" t="s">
        <v>71</v>
      </c>
      <c r="D27" s="34">
        <v>515.1</v>
      </c>
      <c r="E27" s="34">
        <v>515.1</v>
      </c>
      <c r="F27" s="34">
        <v>515.1</v>
      </c>
      <c r="G27" s="34">
        <v>515.1</v>
      </c>
      <c r="H27" s="34">
        <v>515.1</v>
      </c>
      <c r="I27" s="34">
        <v>197.1</v>
      </c>
      <c r="J27" s="28">
        <f t="shared" si="8"/>
        <v>38.264414676761795</v>
      </c>
      <c r="K27" s="28">
        <f t="shared" si="5"/>
        <v>38.264414676761795</v>
      </c>
      <c r="L27" s="28">
        <f t="shared" si="9"/>
        <v>318</v>
      </c>
      <c r="M27" s="28">
        <f t="shared" si="1"/>
        <v>38.264414676761795</v>
      </c>
      <c r="N27" s="28">
        <f t="shared" si="6"/>
        <v>38.264414676761795</v>
      </c>
      <c r="O27" s="22">
        <f>N27-95</f>
        <v>-56.735585323238205</v>
      </c>
      <c r="P27" s="22">
        <f>M27-95</f>
        <v>-56.735585323238205</v>
      </c>
      <c r="Q27" s="22">
        <f>100-Q26</f>
        <v>0.6008223252558906</v>
      </c>
      <c r="R27" s="22">
        <f>Q27/100*95</f>
        <v>0.570781208993096</v>
      </c>
      <c r="S27" s="22">
        <f>Q27/100*90</f>
        <v>0.5407400927303015</v>
      </c>
    </row>
    <row r="28" spans="1:20" s="16" customFormat="1" ht="25.5">
      <c r="A28" s="4" t="s">
        <v>8</v>
      </c>
      <c r="B28" s="5" t="s">
        <v>9</v>
      </c>
      <c r="C28" s="5" t="s">
        <v>75</v>
      </c>
      <c r="D28" s="32">
        <f>D29+D30+D31+D32</f>
        <v>3596638.9</v>
      </c>
      <c r="E28" s="89">
        <f t="shared" si="4"/>
        <v>3296918.9916666667</v>
      </c>
      <c r="F28" s="32">
        <f>F29+F30+F31+F32</f>
        <v>3547035.1</v>
      </c>
      <c r="G28" s="89">
        <f>G29+G30+G31+G32</f>
        <v>3570633.3000000003</v>
      </c>
      <c r="H28" s="89">
        <f>H29+H30+H31+H32</f>
        <v>2995831.1500000004</v>
      </c>
      <c r="I28" s="32">
        <f>I29+I30+I31+I32</f>
        <v>3404364.7</v>
      </c>
      <c r="J28" s="31">
        <f t="shared" si="8"/>
        <v>95.34344229635678</v>
      </c>
      <c r="K28" s="31">
        <f t="shared" si="5"/>
        <v>113.63673483400424</v>
      </c>
      <c r="L28" s="31">
        <f t="shared" si="9"/>
        <v>142670.3999999999</v>
      </c>
      <c r="M28" s="31">
        <f t="shared" si="1"/>
        <v>94.65405882141798</v>
      </c>
      <c r="N28" s="31">
        <f t="shared" si="6"/>
        <v>95.97775618290329</v>
      </c>
      <c r="O28" s="8" t="s">
        <v>124</v>
      </c>
      <c r="P28" s="8" t="s">
        <v>124</v>
      </c>
      <c r="Q28" s="32">
        <f>Q29+Q30+Q31+Q32</f>
        <v>100</v>
      </c>
      <c r="R28" s="32">
        <f>R29+R30+R31+R32</f>
        <v>98.35291416105186</v>
      </c>
      <c r="S28" s="32">
        <f>S29+S30+S31+S32</f>
        <v>93.35291416105187</v>
      </c>
      <c r="T28" s="72">
        <v>1</v>
      </c>
    </row>
    <row r="29" spans="1:19" s="16" customFormat="1" ht="18" customHeight="1">
      <c r="A29" s="104"/>
      <c r="B29" s="104"/>
      <c r="C29" s="6" t="s">
        <v>69</v>
      </c>
      <c r="D29" s="34">
        <v>2411844.3</v>
      </c>
      <c r="E29" s="51">
        <f t="shared" si="4"/>
        <v>2210857.275</v>
      </c>
      <c r="F29" s="34">
        <v>2362240.5</v>
      </c>
      <c r="G29" s="51">
        <v>2435654.7</v>
      </c>
      <c r="H29" s="51">
        <v>1903382.8</v>
      </c>
      <c r="I29" s="34">
        <v>2318512</v>
      </c>
      <c r="J29" s="28">
        <f t="shared" si="8"/>
        <v>95.19050463105462</v>
      </c>
      <c r="K29" s="28">
        <f t="shared" si="5"/>
        <v>121.81007414798538</v>
      </c>
      <c r="L29" s="28">
        <f t="shared" si="9"/>
        <v>43728.5</v>
      </c>
      <c r="M29" s="28">
        <f t="shared" si="1"/>
        <v>96.13025185746858</v>
      </c>
      <c r="N29" s="28">
        <f t="shared" si="6"/>
        <v>98.14885486892634</v>
      </c>
      <c r="O29" s="22">
        <f>N29-100</f>
        <v>-1.8511451310736646</v>
      </c>
      <c r="P29" s="22">
        <f>M29-95</f>
        <v>1.1302518574685791</v>
      </c>
      <c r="Q29" s="22">
        <f>D29/D28*100</f>
        <v>67.05828322103729</v>
      </c>
      <c r="R29" s="22">
        <f>Q29/100*100</f>
        <v>67.05828322103729</v>
      </c>
      <c r="S29" s="22">
        <f>Q29/100*95</f>
        <v>63.70536905998542</v>
      </c>
    </row>
    <row r="30" spans="1:19" s="16" customFormat="1" ht="18" customHeight="1">
      <c r="A30" s="104"/>
      <c r="B30" s="104"/>
      <c r="C30" s="6" t="s">
        <v>70</v>
      </c>
      <c r="D30" s="34">
        <v>76639.6</v>
      </c>
      <c r="E30" s="34">
        <v>76639.6</v>
      </c>
      <c r="F30" s="34">
        <v>76639.6</v>
      </c>
      <c r="G30" s="34">
        <v>76639.6</v>
      </c>
      <c r="H30" s="34">
        <v>76639.6</v>
      </c>
      <c r="I30" s="88">
        <v>75694.2</v>
      </c>
      <c r="J30" s="28">
        <f>I30/G30*100</f>
        <v>98.76643406280824</v>
      </c>
      <c r="K30" s="28">
        <f t="shared" si="5"/>
        <v>98.76643406280824</v>
      </c>
      <c r="L30" s="28">
        <f t="shared" si="9"/>
        <v>945.4000000000087</v>
      </c>
      <c r="M30" s="28">
        <f t="shared" si="1"/>
        <v>98.76643406280824</v>
      </c>
      <c r="N30" s="28">
        <f t="shared" si="6"/>
        <v>98.76643406280824</v>
      </c>
      <c r="O30" s="22">
        <f>N30-95</f>
        <v>3.766434062808244</v>
      </c>
      <c r="P30" s="22">
        <f>M30-95</f>
        <v>3.766434062808244</v>
      </c>
      <c r="Q30" s="22">
        <f>D30/D28*100</f>
        <v>2.1308672382985128</v>
      </c>
      <c r="R30" s="22">
        <f>Q30/100*95</f>
        <v>2.024323876383587</v>
      </c>
      <c r="S30" s="22">
        <f>Q30/100*90</f>
        <v>1.9177805144686615</v>
      </c>
    </row>
    <row r="31" spans="1:19" s="16" customFormat="1" ht="25.5">
      <c r="A31" s="104"/>
      <c r="B31" s="104"/>
      <c r="C31" s="6" t="s">
        <v>129</v>
      </c>
      <c r="D31" s="34">
        <v>530139</v>
      </c>
      <c r="E31" s="51">
        <f t="shared" si="4"/>
        <v>485960.75</v>
      </c>
      <c r="F31" s="34">
        <v>530139</v>
      </c>
      <c r="G31" s="51">
        <v>518139</v>
      </c>
      <c r="H31" s="51">
        <f>D31/12*11</f>
        <v>485960.75</v>
      </c>
      <c r="I31" s="88">
        <v>452581.2</v>
      </c>
      <c r="J31" s="37">
        <f>I31/G31*100</f>
        <v>87.34744923659483</v>
      </c>
      <c r="K31" s="28">
        <f t="shared" si="5"/>
        <v>93.13122510408506</v>
      </c>
      <c r="L31" s="28">
        <f t="shared" si="9"/>
        <v>77557.79999999999</v>
      </c>
      <c r="M31" s="37">
        <f t="shared" si="1"/>
        <v>85.37028967874464</v>
      </c>
      <c r="N31" s="28">
        <f t="shared" si="6"/>
        <v>85.37028967874464</v>
      </c>
      <c r="O31" s="22">
        <f>N31-95</f>
        <v>-9.62971032125536</v>
      </c>
      <c r="P31" s="22">
        <f>M31-95</f>
        <v>-9.62971032125536</v>
      </c>
      <c r="Q31" s="22">
        <f>D31/D28*100</f>
        <v>14.739845025865678</v>
      </c>
      <c r="R31" s="22">
        <f>Q31/100*95</f>
        <v>14.002852774572395</v>
      </c>
      <c r="S31" s="22">
        <f>Q31/100*90</f>
        <v>13.26586052327911</v>
      </c>
    </row>
    <row r="32" spans="1:19" s="16" customFormat="1" ht="27" customHeight="1">
      <c r="A32" s="104"/>
      <c r="B32" s="104"/>
      <c r="C32" s="6" t="s">
        <v>71</v>
      </c>
      <c r="D32" s="34">
        <v>578016</v>
      </c>
      <c r="E32" s="34">
        <v>578016</v>
      </c>
      <c r="F32" s="34">
        <v>578016</v>
      </c>
      <c r="G32" s="51">
        <v>540200</v>
      </c>
      <c r="H32" s="51">
        <f>D32/12*11</f>
        <v>529848</v>
      </c>
      <c r="I32" s="34">
        <v>557577.3</v>
      </c>
      <c r="J32" s="28">
        <f aca="true" t="shared" si="10" ref="J32:J53">SUM(I32/G32)*100</f>
        <v>103.21682710107369</v>
      </c>
      <c r="K32" s="28">
        <f t="shared" si="5"/>
        <v>105.23344430855643</v>
      </c>
      <c r="L32" s="28">
        <f t="shared" si="9"/>
        <v>20438.699999999953</v>
      </c>
      <c r="M32" s="28">
        <f t="shared" si="1"/>
        <v>96.46399061617672</v>
      </c>
      <c r="N32" s="28">
        <f t="shared" si="6"/>
        <v>96.46399061617672</v>
      </c>
      <c r="O32" s="22">
        <f>N32-95</f>
        <v>1.4639906161767158</v>
      </c>
      <c r="P32" s="22">
        <f>M32-95</f>
        <v>1.4639906161767158</v>
      </c>
      <c r="Q32" s="22">
        <f>D32/D28*100</f>
        <v>16.071004514798524</v>
      </c>
      <c r="R32" s="22">
        <f>Q32/100*95</f>
        <v>15.267454289058596</v>
      </c>
      <c r="S32" s="22">
        <f>Q32/100*90</f>
        <v>14.46390406331867</v>
      </c>
    </row>
    <row r="33" spans="1:20" s="16" customFormat="1" ht="25.5">
      <c r="A33" s="4" t="s">
        <v>10</v>
      </c>
      <c r="B33" s="5" t="s">
        <v>11</v>
      </c>
      <c r="C33" s="5" t="s">
        <v>76</v>
      </c>
      <c r="D33" s="32">
        <f>D34+D35+D36</f>
        <v>699940.5</v>
      </c>
      <c r="E33" s="89">
        <f t="shared" si="4"/>
        <v>641612.125</v>
      </c>
      <c r="F33" s="32">
        <f>F34+F35+F36</f>
        <v>660825.3</v>
      </c>
      <c r="G33" s="89">
        <f>G34+G35+G36</f>
        <v>692686.8999999999</v>
      </c>
      <c r="H33" s="89">
        <f>H34+H35+H36</f>
        <v>555394.6083333334</v>
      </c>
      <c r="I33" s="32">
        <f>I34+I35+I36</f>
        <v>574202.3</v>
      </c>
      <c r="J33" s="31">
        <f t="shared" si="10"/>
        <v>82.89492698649276</v>
      </c>
      <c r="K33" s="31">
        <f t="shared" si="5"/>
        <v>103.3863655470308</v>
      </c>
      <c r="L33" s="31">
        <f t="shared" si="9"/>
        <v>86623</v>
      </c>
      <c r="M33" s="31">
        <f t="shared" si="1"/>
        <v>82.03587304920919</v>
      </c>
      <c r="N33" s="31">
        <f t="shared" si="6"/>
        <v>86.89169437066045</v>
      </c>
      <c r="O33" s="8" t="s">
        <v>124</v>
      </c>
      <c r="P33" s="8" t="s">
        <v>124</v>
      </c>
      <c r="Q33" s="32">
        <f>Q34+Q35+Q36</f>
        <v>100</v>
      </c>
      <c r="R33" s="32">
        <f>R34+R35+R36</f>
        <v>98.92679234877822</v>
      </c>
      <c r="S33" s="32">
        <f>S34+S35+S36</f>
        <v>93.92679234877822</v>
      </c>
      <c r="T33" s="72">
        <v>1</v>
      </c>
    </row>
    <row r="34" spans="1:19" s="16" customFormat="1" ht="16.5" customHeight="1">
      <c r="A34" s="104"/>
      <c r="B34" s="104"/>
      <c r="C34" s="6" t="s">
        <v>69</v>
      </c>
      <c r="D34" s="34">
        <v>549704.2</v>
      </c>
      <c r="E34" s="51">
        <f t="shared" si="4"/>
        <v>503895.5166666666</v>
      </c>
      <c r="F34" s="34">
        <v>510589</v>
      </c>
      <c r="G34" s="51">
        <v>542645.1</v>
      </c>
      <c r="H34" s="51">
        <v>417678</v>
      </c>
      <c r="I34" s="34">
        <v>508931.2</v>
      </c>
      <c r="J34" s="28">
        <f t="shared" si="10"/>
        <v>93.78711795241495</v>
      </c>
      <c r="K34" s="28">
        <f t="shared" si="5"/>
        <v>121.84773916749268</v>
      </c>
      <c r="L34" s="28">
        <f t="shared" si="9"/>
        <v>1657.7999999999884</v>
      </c>
      <c r="M34" s="28">
        <f t="shared" si="1"/>
        <v>92.58273813443667</v>
      </c>
      <c r="N34" s="28">
        <f t="shared" si="6"/>
        <v>99.67531615448041</v>
      </c>
      <c r="O34" s="22">
        <f>N34-100</f>
        <v>-0.32468384551958707</v>
      </c>
      <c r="P34" s="22">
        <f>M34-95</f>
        <v>-2.417261865563333</v>
      </c>
      <c r="Q34" s="22">
        <f>D34/D33*100</f>
        <v>78.53584697556435</v>
      </c>
      <c r="R34" s="22">
        <f>Q34/100*100</f>
        <v>78.53584697556435</v>
      </c>
      <c r="S34" s="22">
        <f>Q34/100*95</f>
        <v>74.60905462678613</v>
      </c>
    </row>
    <row r="35" spans="1:19" s="16" customFormat="1" ht="25.5">
      <c r="A35" s="104"/>
      <c r="B35" s="104"/>
      <c r="C35" s="6" t="s">
        <v>129</v>
      </c>
      <c r="D35" s="34">
        <v>78022.5</v>
      </c>
      <c r="E35" s="51">
        <f t="shared" si="4"/>
        <v>71520.625</v>
      </c>
      <c r="F35" s="34">
        <v>78022.5</v>
      </c>
      <c r="G35" s="51">
        <v>74974.6</v>
      </c>
      <c r="H35" s="51">
        <f>D35/12*11</f>
        <v>71520.625</v>
      </c>
      <c r="I35" s="88">
        <v>1966.8</v>
      </c>
      <c r="J35" s="28">
        <f t="shared" si="10"/>
        <v>2.6232884203450233</v>
      </c>
      <c r="K35" s="28">
        <f t="shared" si="5"/>
        <v>2.7499759684706335</v>
      </c>
      <c r="L35" s="28">
        <f t="shared" si="9"/>
        <v>76055.7</v>
      </c>
      <c r="M35" s="28">
        <f t="shared" si="1"/>
        <v>2.520811304431414</v>
      </c>
      <c r="N35" s="28">
        <f t="shared" si="6"/>
        <v>2.520811304431414</v>
      </c>
      <c r="O35" s="22">
        <f>N35-95</f>
        <v>-92.47918869556858</v>
      </c>
      <c r="P35" s="22">
        <f>M35-95</f>
        <v>-92.47918869556858</v>
      </c>
      <c r="Q35" s="22">
        <f>D35/D33*100</f>
        <v>11.147018925180069</v>
      </c>
      <c r="R35" s="22">
        <f>Q35/100*95</f>
        <v>10.589667978921065</v>
      </c>
      <c r="S35" s="22">
        <f>Q35/100*90</f>
        <v>10.032317032662062</v>
      </c>
    </row>
    <row r="36" spans="1:19" s="16" customFormat="1" ht="28.5" customHeight="1">
      <c r="A36" s="104"/>
      <c r="B36" s="104"/>
      <c r="C36" s="6" t="s">
        <v>71</v>
      </c>
      <c r="D36" s="34">
        <v>72213.8</v>
      </c>
      <c r="E36" s="34">
        <v>72213.8</v>
      </c>
      <c r="F36" s="34">
        <v>72213.8</v>
      </c>
      <c r="G36" s="51">
        <v>75067.2</v>
      </c>
      <c r="H36" s="51">
        <f>D36/12*11</f>
        <v>66195.98333333334</v>
      </c>
      <c r="I36" s="34">
        <v>63304.3</v>
      </c>
      <c r="J36" s="28">
        <f t="shared" si="10"/>
        <v>84.33017349787924</v>
      </c>
      <c r="K36" s="28">
        <f t="shared" si="5"/>
        <v>95.63163323857263</v>
      </c>
      <c r="L36" s="28">
        <f t="shared" si="9"/>
        <v>8909.5</v>
      </c>
      <c r="M36" s="28">
        <f t="shared" si="1"/>
        <v>87.66233046869158</v>
      </c>
      <c r="N36" s="28">
        <f t="shared" si="6"/>
        <v>87.66233046869158</v>
      </c>
      <c r="O36" s="22">
        <f>N36-95</f>
        <v>-7.337669531308421</v>
      </c>
      <c r="P36" s="22">
        <f>M36-95</f>
        <v>-7.337669531308421</v>
      </c>
      <c r="Q36" s="22">
        <f>D36/D33*100</f>
        <v>10.317134099255581</v>
      </c>
      <c r="R36" s="22">
        <f>Q36/100*95</f>
        <v>9.801277394292802</v>
      </c>
      <c r="S36" s="22">
        <f>Q36/100*90</f>
        <v>9.285420689330023</v>
      </c>
    </row>
    <row r="37" spans="1:20" s="16" customFormat="1" ht="36.75" customHeight="1">
      <c r="A37" s="4" t="s">
        <v>123</v>
      </c>
      <c r="B37" s="5" t="s">
        <v>142</v>
      </c>
      <c r="C37" s="5" t="s">
        <v>122</v>
      </c>
      <c r="D37" s="32">
        <f aca="true" t="shared" si="11" ref="D37:I37">D38+D39+D40</f>
        <v>47718.09999999999</v>
      </c>
      <c r="E37" s="89">
        <f t="shared" si="11"/>
        <v>44904.7</v>
      </c>
      <c r="F37" s="32">
        <f t="shared" si="11"/>
        <v>43000.6</v>
      </c>
      <c r="G37" s="89">
        <f t="shared" si="11"/>
        <v>32728.8</v>
      </c>
      <c r="H37" s="89">
        <f t="shared" si="11"/>
        <v>24309.824999999997</v>
      </c>
      <c r="I37" s="32">
        <f t="shared" si="11"/>
        <v>40280.5</v>
      </c>
      <c r="J37" s="31">
        <f t="shared" si="10"/>
        <v>123.0735621226565</v>
      </c>
      <c r="K37" s="31">
        <f t="shared" si="5"/>
        <v>165.69637996159992</v>
      </c>
      <c r="L37" s="31">
        <f t="shared" si="9"/>
        <v>2720.0999999999985</v>
      </c>
      <c r="M37" s="31">
        <f t="shared" si="1"/>
        <v>84.41346155861194</v>
      </c>
      <c r="N37" s="31">
        <f t="shared" si="6"/>
        <v>93.67427431245146</v>
      </c>
      <c r="O37" s="8" t="s">
        <v>124</v>
      </c>
      <c r="P37" s="8" t="s">
        <v>124</v>
      </c>
      <c r="Q37" s="32">
        <f>Q38+Q39+Q40</f>
        <v>70.75051186027943</v>
      </c>
      <c r="R37" s="32">
        <f>R38+R39+R40</f>
        <v>70.74928591037782</v>
      </c>
      <c r="S37" s="32">
        <f>S38+S39+S40</f>
        <v>67.21176031736384</v>
      </c>
      <c r="T37" s="72">
        <v>2</v>
      </c>
    </row>
    <row r="38" spans="1:19" s="16" customFormat="1" ht="16.5" customHeight="1">
      <c r="A38" s="108"/>
      <c r="B38" s="109"/>
      <c r="C38" s="6" t="s">
        <v>69</v>
      </c>
      <c r="D38" s="34">
        <v>33749.1</v>
      </c>
      <c r="E38" s="51">
        <f t="shared" si="4"/>
        <v>30936.674999999996</v>
      </c>
      <c r="F38" s="34">
        <v>29031.6</v>
      </c>
      <c r="G38" s="51">
        <v>32717.1</v>
      </c>
      <c r="H38" s="51">
        <v>24299.1</v>
      </c>
      <c r="I38" s="34">
        <v>28831.3</v>
      </c>
      <c r="J38" s="28">
        <f t="shared" si="10"/>
        <v>88.12303046419152</v>
      </c>
      <c r="K38" s="28">
        <f t="shared" si="5"/>
        <v>118.6517196110144</v>
      </c>
      <c r="L38" s="28">
        <f t="shared" si="9"/>
        <v>200.29999999999927</v>
      </c>
      <c r="M38" s="28">
        <f t="shared" si="1"/>
        <v>85.4283521634651</v>
      </c>
      <c r="N38" s="28">
        <f t="shared" si="6"/>
        <v>99.31006213918627</v>
      </c>
      <c r="O38" s="22">
        <f>N38-100</f>
        <v>-0.6899378608137283</v>
      </c>
      <c r="P38" s="22">
        <f>M38-95</f>
        <v>-9.571647836534893</v>
      </c>
      <c r="Q38" s="22">
        <f>D38/D37*100</f>
        <v>70.72599286224724</v>
      </c>
      <c r="R38" s="22">
        <f>Q38/100*100</f>
        <v>70.72599286224724</v>
      </c>
      <c r="S38" s="22">
        <f>Q38/100*95</f>
        <v>67.18969321913487</v>
      </c>
    </row>
    <row r="39" spans="1:19" s="16" customFormat="1" ht="25.5">
      <c r="A39" s="110"/>
      <c r="B39" s="111"/>
      <c r="C39" s="6" t="s">
        <v>129</v>
      </c>
      <c r="D39" s="34">
        <v>11.7</v>
      </c>
      <c r="E39" s="51">
        <f t="shared" si="4"/>
        <v>10.725</v>
      </c>
      <c r="F39" s="34">
        <v>11.7</v>
      </c>
      <c r="G39" s="51">
        <v>11.7</v>
      </c>
      <c r="H39" s="51">
        <f>D39/12*11</f>
        <v>10.725</v>
      </c>
      <c r="I39" s="34">
        <v>11.7</v>
      </c>
      <c r="J39" s="28">
        <f t="shared" si="10"/>
        <v>100</v>
      </c>
      <c r="K39" s="28">
        <f t="shared" si="5"/>
        <v>109.09090909090908</v>
      </c>
      <c r="L39" s="28">
        <f t="shared" si="9"/>
        <v>0</v>
      </c>
      <c r="M39" s="28">
        <f t="shared" si="1"/>
        <v>100</v>
      </c>
      <c r="N39" s="28">
        <f t="shared" si="6"/>
        <v>100</v>
      </c>
      <c r="O39" s="22">
        <f>N39-95</f>
        <v>5</v>
      </c>
      <c r="P39" s="22">
        <f>M39-95</f>
        <v>5</v>
      </c>
      <c r="Q39" s="68">
        <f>D39/D37*100</f>
        <v>0.02451899803219324</v>
      </c>
      <c r="R39" s="68">
        <f>Q39/100*95</f>
        <v>0.02329304813058358</v>
      </c>
      <c r="S39" s="68">
        <f>Q39/100*90</f>
        <v>0.022067098228973916</v>
      </c>
    </row>
    <row r="40" spans="1:19" s="16" customFormat="1" ht="25.5">
      <c r="A40" s="112"/>
      <c r="B40" s="113"/>
      <c r="C40" s="6" t="s">
        <v>71</v>
      </c>
      <c r="D40" s="34">
        <f>5153.4+8803.9</f>
        <v>13957.3</v>
      </c>
      <c r="E40" s="34">
        <f>5153.4+8803.9</f>
        <v>13957.3</v>
      </c>
      <c r="F40" s="34">
        <f>5153.4+8803.9</f>
        <v>13957.3</v>
      </c>
      <c r="G40" s="51"/>
      <c r="H40" s="51"/>
      <c r="I40" s="34">
        <v>11437.5</v>
      </c>
      <c r="J40" s="28"/>
      <c r="K40" s="28"/>
      <c r="L40" s="28">
        <f t="shared" si="9"/>
        <v>2519.7999999999993</v>
      </c>
      <c r="M40" s="28">
        <f t="shared" si="1"/>
        <v>81.9463649846317</v>
      </c>
      <c r="N40" s="28">
        <f t="shared" si="6"/>
        <v>81.9463649846317</v>
      </c>
      <c r="O40" s="22">
        <f>N40-95</f>
        <v>-13.0536350153683</v>
      </c>
      <c r="P40" s="22">
        <f>M40-95</f>
        <v>-13.0536350153683</v>
      </c>
      <c r="Q40" s="68"/>
      <c r="R40" s="68"/>
      <c r="S40" s="68"/>
    </row>
    <row r="41" spans="1:20" s="16" customFormat="1" ht="27" customHeight="1">
      <c r="A41" s="4" t="s">
        <v>12</v>
      </c>
      <c r="B41" s="5" t="s">
        <v>13</v>
      </c>
      <c r="C41" s="5" t="s">
        <v>77</v>
      </c>
      <c r="D41" s="32">
        <f>D42+D43+D44+D45</f>
        <v>7247686.7</v>
      </c>
      <c r="E41" s="89">
        <f t="shared" si="4"/>
        <v>6643712.808333334</v>
      </c>
      <c r="F41" s="32">
        <f>F42+F43+F44+F45</f>
        <v>7058361.5</v>
      </c>
      <c r="G41" s="89">
        <f>G42+G43+G44+G45</f>
        <v>7236768.999999999</v>
      </c>
      <c r="H41" s="89">
        <f>H42+H43+H44+H45</f>
        <v>6177018.283333333</v>
      </c>
      <c r="I41" s="32">
        <f>I42+I43+I44+I45</f>
        <v>6679830.9</v>
      </c>
      <c r="J41" s="31">
        <f t="shared" si="10"/>
        <v>92.30405032964299</v>
      </c>
      <c r="K41" s="31">
        <f t="shared" si="5"/>
        <v>108.14005388365682</v>
      </c>
      <c r="L41" s="31">
        <f t="shared" si="9"/>
        <v>378530.5999999996</v>
      </c>
      <c r="M41" s="31">
        <f aca="true" t="shared" si="12" ref="M41:M72">I41/D41*100</f>
        <v>92.16500624951132</v>
      </c>
      <c r="N41" s="31">
        <f t="shared" si="6"/>
        <v>94.63713214462025</v>
      </c>
      <c r="O41" s="8" t="s">
        <v>124</v>
      </c>
      <c r="P41" s="8" t="s">
        <v>124</v>
      </c>
      <c r="Q41" s="52">
        <f>Q42+Q43+Q44+Q45</f>
        <v>99.99999999999999</v>
      </c>
      <c r="R41" s="52">
        <f>R42+R43+R44+R45</f>
        <v>97.88635137884754</v>
      </c>
      <c r="S41" s="52">
        <f>S42+S43+S44+S45</f>
        <v>92.88635137884754</v>
      </c>
      <c r="T41" s="72">
        <v>1</v>
      </c>
    </row>
    <row r="42" spans="1:19" s="16" customFormat="1" ht="17.25" customHeight="1">
      <c r="A42" s="104"/>
      <c r="B42" s="104"/>
      <c r="C42" s="6" t="s">
        <v>69</v>
      </c>
      <c r="D42" s="34">
        <v>4183874.1</v>
      </c>
      <c r="E42" s="51">
        <f t="shared" si="4"/>
        <v>3835217.925</v>
      </c>
      <c r="F42" s="34">
        <v>3994548.9</v>
      </c>
      <c r="G42" s="51">
        <v>4299691.6</v>
      </c>
      <c r="H42" s="51">
        <v>3368523.4</v>
      </c>
      <c r="I42" s="34">
        <v>3938221.9</v>
      </c>
      <c r="J42" s="28">
        <f t="shared" si="10"/>
        <v>91.59312495807839</v>
      </c>
      <c r="K42" s="28">
        <f t="shared" si="5"/>
        <v>116.9124103457319</v>
      </c>
      <c r="L42" s="28">
        <f t="shared" si="9"/>
        <v>56327</v>
      </c>
      <c r="M42" s="28">
        <f t="shared" si="12"/>
        <v>94.12859483510748</v>
      </c>
      <c r="N42" s="28">
        <f t="shared" si="6"/>
        <v>98.58990335554535</v>
      </c>
      <c r="O42" s="22">
        <f>N42-100</f>
        <v>-1.4100966444546543</v>
      </c>
      <c r="P42" s="22">
        <f>M42-95</f>
        <v>-0.8714051648925221</v>
      </c>
      <c r="Q42" s="22">
        <f>D42/D41*100</f>
        <v>57.72702757695086</v>
      </c>
      <c r="R42" s="22">
        <f>Q42/100*100</f>
        <v>57.72702757695086</v>
      </c>
      <c r="S42" s="22">
        <f>Q42/100*95</f>
        <v>54.84067619810332</v>
      </c>
    </row>
    <row r="43" spans="1:19" s="16" customFormat="1" ht="17.25" customHeight="1">
      <c r="A43" s="104"/>
      <c r="B43" s="104"/>
      <c r="C43" s="6" t="s">
        <v>70</v>
      </c>
      <c r="D43" s="34">
        <v>1890701.9</v>
      </c>
      <c r="E43" s="34">
        <v>1890701.9</v>
      </c>
      <c r="F43" s="34">
        <v>1890701.9</v>
      </c>
      <c r="G43" s="51">
        <v>1759308.8</v>
      </c>
      <c r="H43" s="51">
        <f>D43/12*11</f>
        <v>1733143.4083333334</v>
      </c>
      <c r="I43" s="88">
        <v>1833589.5</v>
      </c>
      <c r="J43" s="28">
        <f t="shared" si="10"/>
        <v>104.22215247260742</v>
      </c>
      <c r="K43" s="28">
        <f t="shared" si="5"/>
        <v>105.79560186327916</v>
      </c>
      <c r="L43" s="28">
        <f t="shared" si="9"/>
        <v>57112.39999999991</v>
      </c>
      <c r="M43" s="28">
        <f t="shared" si="12"/>
        <v>96.9793017080059</v>
      </c>
      <c r="N43" s="28">
        <f t="shared" si="6"/>
        <v>96.9793017080059</v>
      </c>
      <c r="O43" s="22">
        <f>N43-95</f>
        <v>1.9793017080059059</v>
      </c>
      <c r="P43" s="22">
        <f>M43-95</f>
        <v>1.9793017080059059</v>
      </c>
      <c r="Q43" s="22">
        <f>D43/D41*100</f>
        <v>26.086970619190808</v>
      </c>
      <c r="R43" s="22">
        <f>Q43/100*95</f>
        <v>24.782622088231268</v>
      </c>
      <c r="S43" s="22">
        <f>Q43/100*90</f>
        <v>23.478273557271727</v>
      </c>
    </row>
    <row r="44" spans="1:19" s="16" customFormat="1" ht="26.25" customHeight="1">
      <c r="A44" s="104"/>
      <c r="B44" s="104"/>
      <c r="C44" s="6" t="s">
        <v>129</v>
      </c>
      <c r="D44" s="34">
        <v>606217.4</v>
      </c>
      <c r="E44" s="51">
        <f t="shared" si="4"/>
        <v>555699.2833333333</v>
      </c>
      <c r="F44" s="34">
        <v>606217.4</v>
      </c>
      <c r="G44" s="51">
        <v>606287.5</v>
      </c>
      <c r="H44" s="51">
        <f>D44/12*11</f>
        <v>555699.2833333333</v>
      </c>
      <c r="I44" s="34">
        <v>394804.3</v>
      </c>
      <c r="J44" s="28">
        <f t="shared" si="10"/>
        <v>65.11833082489743</v>
      </c>
      <c r="K44" s="28">
        <f t="shared" si="5"/>
        <v>71.04639358751498</v>
      </c>
      <c r="L44" s="28">
        <f t="shared" si="9"/>
        <v>211413.10000000003</v>
      </c>
      <c r="M44" s="28">
        <f t="shared" si="12"/>
        <v>65.12586078855539</v>
      </c>
      <c r="N44" s="28">
        <f t="shared" si="6"/>
        <v>65.12586078855539</v>
      </c>
      <c r="O44" s="22">
        <f>N44-95</f>
        <v>-29.874139211444614</v>
      </c>
      <c r="P44" s="22">
        <f>M44-95</f>
        <v>-29.874139211444614</v>
      </c>
      <c r="Q44" s="22">
        <f>D44/D41*100</f>
        <v>8.364288152797775</v>
      </c>
      <c r="R44" s="22">
        <f>Q44/100*95</f>
        <v>7.946073745157886</v>
      </c>
      <c r="S44" s="22">
        <f>Q44/100*90</f>
        <v>7.527859337517997</v>
      </c>
    </row>
    <row r="45" spans="1:19" s="16" customFormat="1" ht="27" customHeight="1">
      <c r="A45" s="104"/>
      <c r="B45" s="104"/>
      <c r="C45" s="6" t="s">
        <v>71</v>
      </c>
      <c r="D45" s="34">
        <v>566893.3</v>
      </c>
      <c r="E45" s="34">
        <v>566893.3</v>
      </c>
      <c r="F45" s="34">
        <v>566893.3</v>
      </c>
      <c r="G45" s="51">
        <v>571481.1</v>
      </c>
      <c r="H45" s="51">
        <f>D45/12*11</f>
        <v>519652.1916666667</v>
      </c>
      <c r="I45" s="34">
        <v>513215.2</v>
      </c>
      <c r="J45" s="28">
        <f t="shared" si="10"/>
        <v>89.80440473009519</v>
      </c>
      <c r="K45" s="28">
        <f t="shared" si="5"/>
        <v>98.761288459879</v>
      </c>
      <c r="L45" s="28">
        <f t="shared" si="9"/>
        <v>53678.100000000035</v>
      </c>
      <c r="M45" s="28">
        <f t="shared" si="12"/>
        <v>90.53118108822241</v>
      </c>
      <c r="N45" s="28">
        <f t="shared" si="6"/>
        <v>90.53118108822241</v>
      </c>
      <c r="O45" s="22">
        <f>N45-95</f>
        <v>-4.468818911777589</v>
      </c>
      <c r="P45" s="22">
        <f>M45-95</f>
        <v>-4.468818911777589</v>
      </c>
      <c r="Q45" s="22">
        <f>D45/D41*100</f>
        <v>7.821713651060552</v>
      </c>
      <c r="R45" s="22">
        <f>Q45/100*95</f>
        <v>7.430627968507524</v>
      </c>
      <c r="S45" s="22">
        <f>Q45/100*90</f>
        <v>7.039542285954497</v>
      </c>
    </row>
    <row r="46" spans="1:20" s="16" customFormat="1" ht="25.5">
      <c r="A46" s="4" t="s">
        <v>14</v>
      </c>
      <c r="B46" s="5" t="s">
        <v>15</v>
      </c>
      <c r="C46" s="5" t="s">
        <v>78</v>
      </c>
      <c r="D46" s="32">
        <f>D47+D48</f>
        <v>107820.7</v>
      </c>
      <c r="E46" s="89">
        <f t="shared" si="4"/>
        <v>98835.64166666666</v>
      </c>
      <c r="F46" s="32">
        <f>F47+F48</f>
        <v>100387.4</v>
      </c>
      <c r="G46" s="89">
        <f>G47+G48</f>
        <v>107815.6</v>
      </c>
      <c r="H46" s="89">
        <f>H47+H48</f>
        <v>79594.81666666667</v>
      </c>
      <c r="I46" s="32">
        <f>I47+I48</f>
        <v>100270.8</v>
      </c>
      <c r="J46" s="31">
        <f t="shared" si="10"/>
        <v>93.00212585191753</v>
      </c>
      <c r="K46" s="31">
        <f t="shared" si="5"/>
        <v>125.97654495508397</v>
      </c>
      <c r="L46" s="31">
        <f t="shared" si="9"/>
        <v>116.59999999999127</v>
      </c>
      <c r="M46" s="31">
        <f t="shared" si="12"/>
        <v>92.99772678159204</v>
      </c>
      <c r="N46" s="31">
        <f t="shared" si="6"/>
        <v>99.88384996523469</v>
      </c>
      <c r="O46" s="8" t="s">
        <v>124</v>
      </c>
      <c r="P46" s="8" t="s">
        <v>124</v>
      </c>
      <c r="Q46" s="32">
        <f>Q47+Q48</f>
        <v>100</v>
      </c>
      <c r="R46" s="32">
        <f>R47+R48</f>
        <v>99.61486987192626</v>
      </c>
      <c r="S46" s="32">
        <f>S47+S48</f>
        <v>94.61486987192626</v>
      </c>
      <c r="T46" s="72">
        <v>1</v>
      </c>
    </row>
    <row r="47" spans="1:19" s="16" customFormat="1" ht="15" customHeight="1">
      <c r="A47" s="104"/>
      <c r="B47" s="104"/>
      <c r="C47" s="6" t="s">
        <v>69</v>
      </c>
      <c r="D47" s="34">
        <v>99515.7</v>
      </c>
      <c r="E47" s="51">
        <f t="shared" si="4"/>
        <v>91222.725</v>
      </c>
      <c r="F47" s="34">
        <v>92082.4</v>
      </c>
      <c r="G47" s="51">
        <v>99414.5</v>
      </c>
      <c r="H47" s="51">
        <v>71981.9</v>
      </c>
      <c r="I47" s="34">
        <v>92059.8</v>
      </c>
      <c r="J47" s="28">
        <f t="shared" si="10"/>
        <v>92.6019846199498</v>
      </c>
      <c r="K47" s="28">
        <f t="shared" si="5"/>
        <v>127.89298420853021</v>
      </c>
      <c r="L47" s="28">
        <f t="shared" si="9"/>
        <v>22.59999999999127</v>
      </c>
      <c r="M47" s="28">
        <f t="shared" si="12"/>
        <v>92.50781534973879</v>
      </c>
      <c r="N47" s="28">
        <f t="shared" si="6"/>
        <v>99.97545676481066</v>
      </c>
      <c r="O47" s="22">
        <f>N47-100</f>
        <v>-0.024543235189341317</v>
      </c>
      <c r="P47" s="22">
        <f>M47-95</f>
        <v>-2.4921846502612084</v>
      </c>
      <c r="Q47" s="22">
        <f>D47/D46*100</f>
        <v>92.29739743852525</v>
      </c>
      <c r="R47" s="22">
        <f>Q47/100*100</f>
        <v>92.29739743852525</v>
      </c>
      <c r="S47" s="22">
        <f>Q47/100*95</f>
        <v>87.68252756659899</v>
      </c>
    </row>
    <row r="48" spans="1:19" s="16" customFormat="1" ht="16.5" customHeight="1">
      <c r="A48" s="104"/>
      <c r="B48" s="104"/>
      <c r="C48" s="6" t="s">
        <v>70</v>
      </c>
      <c r="D48" s="34">
        <v>8305</v>
      </c>
      <c r="E48" s="34">
        <v>8305</v>
      </c>
      <c r="F48" s="34">
        <v>8305</v>
      </c>
      <c r="G48" s="51">
        <v>8401.1</v>
      </c>
      <c r="H48" s="51">
        <f>D48/12*11</f>
        <v>7612.916666666667</v>
      </c>
      <c r="I48" s="34">
        <v>8211</v>
      </c>
      <c r="J48" s="28">
        <f t="shared" si="10"/>
        <v>97.73720108081085</v>
      </c>
      <c r="K48" s="28">
        <f t="shared" si="5"/>
        <v>107.85616550818236</v>
      </c>
      <c r="L48" s="28">
        <f t="shared" si="9"/>
        <v>94</v>
      </c>
      <c r="M48" s="28">
        <f t="shared" si="12"/>
        <v>98.86815171583383</v>
      </c>
      <c r="N48" s="28">
        <f t="shared" si="6"/>
        <v>98.86815171583383</v>
      </c>
      <c r="O48" s="22">
        <f>N48-95</f>
        <v>3.8681517158338323</v>
      </c>
      <c r="P48" s="22">
        <f>M48-95</f>
        <v>3.8681517158338323</v>
      </c>
      <c r="Q48" s="22">
        <f>D48/D46*100</f>
        <v>7.702602561474745</v>
      </c>
      <c r="R48" s="22">
        <f>Q48/100*95</f>
        <v>7.317472433401007</v>
      </c>
      <c r="S48" s="22">
        <f>Q48/100*90</f>
        <v>6.93234230532727</v>
      </c>
    </row>
    <row r="49" spans="1:20" s="16" customFormat="1" ht="25.5">
      <c r="A49" s="4" t="s">
        <v>16</v>
      </c>
      <c r="B49" s="5" t="s">
        <v>17</v>
      </c>
      <c r="C49" s="5" t="s">
        <v>79</v>
      </c>
      <c r="D49" s="32">
        <f>D50+D51</f>
        <v>198785.6</v>
      </c>
      <c r="E49" s="89">
        <f t="shared" si="4"/>
        <v>182220.13333333333</v>
      </c>
      <c r="F49" s="32">
        <f>F50+F51</f>
        <v>182479.7</v>
      </c>
      <c r="G49" s="89">
        <f>G50+G51</f>
        <v>204867.9</v>
      </c>
      <c r="H49" s="89">
        <f>H50+H51</f>
        <v>158043.78333333333</v>
      </c>
      <c r="I49" s="32">
        <f>I50+I51</f>
        <v>181267.6</v>
      </c>
      <c r="J49" s="31">
        <f t="shared" si="10"/>
        <v>88.48023531260877</v>
      </c>
      <c r="K49" s="31">
        <f t="shared" si="5"/>
        <v>114.69454614211865</v>
      </c>
      <c r="L49" s="31">
        <f t="shared" si="9"/>
        <v>1212.1000000000058</v>
      </c>
      <c r="M49" s="31">
        <f t="shared" si="12"/>
        <v>91.1874904419636</v>
      </c>
      <c r="N49" s="31">
        <f t="shared" si="6"/>
        <v>99.3357617313049</v>
      </c>
      <c r="O49" s="8" t="s">
        <v>124</v>
      </c>
      <c r="P49" s="8" t="s">
        <v>124</v>
      </c>
      <c r="Q49" s="32">
        <f>Q50+Q51</f>
        <v>99.99999999999999</v>
      </c>
      <c r="R49" s="32">
        <f>R50+R51</f>
        <v>99.23318892314131</v>
      </c>
      <c r="S49" s="32">
        <f>S50+S51</f>
        <v>94.23318892314131</v>
      </c>
      <c r="T49" s="72">
        <v>1</v>
      </c>
    </row>
    <row r="50" spans="1:19" s="16" customFormat="1" ht="18" customHeight="1">
      <c r="A50" s="104"/>
      <c r="B50" s="104"/>
      <c r="C50" s="6" t="s">
        <v>69</v>
      </c>
      <c r="D50" s="34">
        <v>168299.4</v>
      </c>
      <c r="E50" s="51">
        <f t="shared" si="4"/>
        <v>154274.44999999998</v>
      </c>
      <c r="F50" s="34">
        <v>151993.5</v>
      </c>
      <c r="G50" s="51">
        <v>175079.9</v>
      </c>
      <c r="H50" s="51">
        <v>130098.1</v>
      </c>
      <c r="I50" s="34">
        <v>151425.4</v>
      </c>
      <c r="J50" s="28">
        <f t="shared" si="10"/>
        <v>86.48931145151442</v>
      </c>
      <c r="K50" s="28">
        <f t="shared" si="5"/>
        <v>116.39324478989315</v>
      </c>
      <c r="L50" s="28">
        <f t="shared" si="9"/>
        <v>568.1000000000058</v>
      </c>
      <c r="M50" s="28">
        <f t="shared" si="12"/>
        <v>89.97382046519476</v>
      </c>
      <c r="N50" s="28">
        <f t="shared" si="6"/>
        <v>99.62623401658624</v>
      </c>
      <c r="O50" s="22">
        <f>N50-100</f>
        <v>-0.37376598341376166</v>
      </c>
      <c r="P50" s="22">
        <f>M50-95</f>
        <v>-5.026179534805237</v>
      </c>
      <c r="Q50" s="22">
        <f>D50/D49*100</f>
        <v>84.66377846282627</v>
      </c>
      <c r="R50" s="22">
        <f>Q50/100*100</f>
        <v>84.66377846282627</v>
      </c>
      <c r="S50" s="22">
        <f>Q50/100*95</f>
        <v>80.43058953968496</v>
      </c>
    </row>
    <row r="51" spans="1:19" s="16" customFormat="1" ht="15.75" customHeight="1">
      <c r="A51" s="104"/>
      <c r="B51" s="104"/>
      <c r="C51" s="6" t="s">
        <v>70</v>
      </c>
      <c r="D51" s="34">
        <v>30486.2</v>
      </c>
      <c r="E51" s="34">
        <v>30486.2</v>
      </c>
      <c r="F51" s="34">
        <v>30486.2</v>
      </c>
      <c r="G51" s="51">
        <v>29788</v>
      </c>
      <c r="H51" s="51">
        <f>D51/12*11</f>
        <v>27945.683333333334</v>
      </c>
      <c r="I51" s="88">
        <v>29842.2</v>
      </c>
      <c r="J51" s="28">
        <f t="shared" si="10"/>
        <v>100.1819524640795</v>
      </c>
      <c r="K51" s="28">
        <f t="shared" si="5"/>
        <v>106.78643869267823</v>
      </c>
      <c r="L51" s="28">
        <f t="shared" si="9"/>
        <v>644</v>
      </c>
      <c r="M51" s="28">
        <f t="shared" si="12"/>
        <v>97.88756880162171</v>
      </c>
      <c r="N51" s="28">
        <f t="shared" si="6"/>
        <v>97.88756880162171</v>
      </c>
      <c r="O51" s="22">
        <f>N51-95</f>
        <v>2.887568801621711</v>
      </c>
      <c r="P51" s="22">
        <f>M51-95</f>
        <v>2.887568801621711</v>
      </c>
      <c r="Q51" s="22">
        <f>D51/D49*100</f>
        <v>15.336221537173719</v>
      </c>
      <c r="R51" s="22">
        <f>Q51/100*95</f>
        <v>14.569410460315034</v>
      </c>
      <c r="S51" s="22">
        <f>Q51/100*90</f>
        <v>13.802599383456347</v>
      </c>
    </row>
    <row r="52" spans="1:20" s="16" customFormat="1" ht="27" customHeight="1">
      <c r="A52" s="4" t="s">
        <v>18</v>
      </c>
      <c r="B52" s="5" t="s">
        <v>19</v>
      </c>
      <c r="C52" s="5" t="s">
        <v>80</v>
      </c>
      <c r="D52" s="32">
        <f>D53+D54</f>
        <v>163427.7</v>
      </c>
      <c r="E52" s="89">
        <f t="shared" si="4"/>
        <v>149808.725</v>
      </c>
      <c r="F52" s="32">
        <f>F53+F54</f>
        <v>151998.4</v>
      </c>
      <c r="G52" s="89">
        <f>G53+G54</f>
        <v>176646.3</v>
      </c>
      <c r="H52" s="89">
        <f>H53+H54</f>
        <v>119069.85833333332</v>
      </c>
      <c r="I52" s="32">
        <f>I53+I54</f>
        <v>151043.4</v>
      </c>
      <c r="J52" s="31">
        <f t="shared" si="10"/>
        <v>85.50612155476792</v>
      </c>
      <c r="K52" s="31">
        <f t="shared" si="5"/>
        <v>126.8527586361592</v>
      </c>
      <c r="L52" s="31">
        <f t="shared" si="9"/>
        <v>955</v>
      </c>
      <c r="M52" s="31">
        <f t="shared" si="12"/>
        <v>92.4221536495955</v>
      </c>
      <c r="N52" s="31">
        <f t="shared" si="6"/>
        <v>99.37170391267276</v>
      </c>
      <c r="O52" s="8" t="s">
        <v>124</v>
      </c>
      <c r="P52" s="8" t="s">
        <v>124</v>
      </c>
      <c r="Q52" s="32">
        <f>Q53+Q54</f>
        <v>100</v>
      </c>
      <c r="R52" s="32">
        <f>R53+R54</f>
        <v>99.17374777959917</v>
      </c>
      <c r="S52" s="32">
        <f>S53+S54</f>
        <v>94.17374777959918</v>
      </c>
      <c r="T52" s="72">
        <v>2</v>
      </c>
    </row>
    <row r="53" spans="1:19" s="16" customFormat="1" ht="15.75" customHeight="1">
      <c r="A53" s="104"/>
      <c r="B53" s="104"/>
      <c r="C53" s="6" t="s">
        <v>69</v>
      </c>
      <c r="D53" s="34">
        <v>136421.2</v>
      </c>
      <c r="E53" s="51">
        <f t="shared" si="4"/>
        <v>125052.76666666668</v>
      </c>
      <c r="F53" s="34">
        <v>124991.9</v>
      </c>
      <c r="G53" s="51">
        <v>149947.9</v>
      </c>
      <c r="H53" s="51">
        <v>94313.9</v>
      </c>
      <c r="I53" s="34">
        <v>124769.1</v>
      </c>
      <c r="J53" s="28">
        <f t="shared" si="10"/>
        <v>83.2083010165531</v>
      </c>
      <c r="K53" s="28">
        <f t="shared" si="5"/>
        <v>132.29131655037062</v>
      </c>
      <c r="L53" s="28">
        <f t="shared" si="9"/>
        <v>222.79999999998836</v>
      </c>
      <c r="M53" s="28">
        <f t="shared" si="12"/>
        <v>91.45873222050531</v>
      </c>
      <c r="N53" s="28">
        <f t="shared" si="6"/>
        <v>99.82174844929952</v>
      </c>
      <c r="O53" s="22">
        <f>N53-100</f>
        <v>-0.17825155070048027</v>
      </c>
      <c r="P53" s="22">
        <f>M53-95</f>
        <v>-3.5412677794946887</v>
      </c>
      <c r="Q53" s="22">
        <f>D53/D52*100</f>
        <v>83.47495559198349</v>
      </c>
      <c r="R53" s="22">
        <f>Q53/100*100</f>
        <v>83.47495559198349</v>
      </c>
      <c r="S53" s="22">
        <f>Q53/100*95</f>
        <v>79.30120781238432</v>
      </c>
    </row>
    <row r="54" spans="1:19" s="16" customFormat="1" ht="15.75" customHeight="1">
      <c r="A54" s="104"/>
      <c r="B54" s="104"/>
      <c r="C54" s="6" t="s">
        <v>70</v>
      </c>
      <c r="D54" s="34">
        <v>27006.5</v>
      </c>
      <c r="E54" s="34">
        <v>27006.5</v>
      </c>
      <c r="F54" s="34">
        <v>27006.5</v>
      </c>
      <c r="G54" s="51">
        <v>26698.4</v>
      </c>
      <c r="H54" s="51">
        <f>D54/12*11</f>
        <v>24755.958333333332</v>
      </c>
      <c r="I54" s="88">
        <v>26274.3</v>
      </c>
      <c r="J54" s="28">
        <f>I54/G54*100</f>
        <v>98.41151529679681</v>
      </c>
      <c r="K54" s="28">
        <f t="shared" si="5"/>
        <v>106.13323728462676</v>
      </c>
      <c r="L54" s="28">
        <f t="shared" si="9"/>
        <v>732.2000000000007</v>
      </c>
      <c r="M54" s="28">
        <f t="shared" si="12"/>
        <v>97.2888008442412</v>
      </c>
      <c r="N54" s="28">
        <f t="shared" si="6"/>
        <v>97.2888008442412</v>
      </c>
      <c r="O54" s="22">
        <f>N54-95</f>
        <v>2.2888008442411945</v>
      </c>
      <c r="P54" s="22">
        <f>M54-95</f>
        <v>2.2888008442411945</v>
      </c>
      <c r="Q54" s="22">
        <f>D54/D52*100</f>
        <v>16.52504440801651</v>
      </c>
      <c r="R54" s="22">
        <f>Q54/100*95</f>
        <v>15.698792187615684</v>
      </c>
      <c r="S54" s="22">
        <f>Q54/100*90</f>
        <v>14.872539967214859</v>
      </c>
    </row>
    <row r="55" spans="1:20" s="16" customFormat="1" ht="27" customHeight="1">
      <c r="A55" s="4" t="s">
        <v>20</v>
      </c>
      <c r="B55" s="5" t="s">
        <v>21</v>
      </c>
      <c r="C55" s="5" t="s">
        <v>84</v>
      </c>
      <c r="D55" s="32">
        <f>D56+D57</f>
        <v>133153.6</v>
      </c>
      <c r="E55" s="89">
        <f t="shared" si="4"/>
        <v>122057.46666666666</v>
      </c>
      <c r="F55" s="32">
        <f>F56+F57</f>
        <v>118336.1</v>
      </c>
      <c r="G55" s="89">
        <f>G56+G57</f>
        <v>137485.8</v>
      </c>
      <c r="H55" s="89">
        <f>H56+H57</f>
        <v>88344.35</v>
      </c>
      <c r="I55" s="32">
        <f>I56+I57</f>
        <v>112343</v>
      </c>
      <c r="J55" s="31">
        <f>SUM(I55/G55)*100</f>
        <v>81.7124386663932</v>
      </c>
      <c r="K55" s="31">
        <f t="shared" si="5"/>
        <v>127.16489509515887</v>
      </c>
      <c r="L55" s="31">
        <f t="shared" si="9"/>
        <v>5993.100000000006</v>
      </c>
      <c r="M55" s="31">
        <f t="shared" si="12"/>
        <v>84.37098208384903</v>
      </c>
      <c r="N55" s="31">
        <f t="shared" si="6"/>
        <v>94.93552685951285</v>
      </c>
      <c r="O55" s="8" t="s">
        <v>124</v>
      </c>
      <c r="P55" s="8" t="s">
        <v>124</v>
      </c>
      <c r="Q55" s="32">
        <f>Q56+Q57</f>
        <v>100</v>
      </c>
      <c r="R55" s="32">
        <f>R56+R57</f>
        <v>99.08254076495115</v>
      </c>
      <c r="S55" s="32">
        <f>S56+S57</f>
        <v>94.08254076495115</v>
      </c>
      <c r="T55" s="72">
        <v>1</v>
      </c>
    </row>
    <row r="56" spans="1:19" s="16" customFormat="1" ht="16.5" customHeight="1">
      <c r="A56" s="104"/>
      <c r="B56" s="104"/>
      <c r="C56" s="6" t="s">
        <v>69</v>
      </c>
      <c r="D56" s="34">
        <v>108721</v>
      </c>
      <c r="E56" s="51">
        <f t="shared" si="4"/>
        <v>99660.91666666667</v>
      </c>
      <c r="F56" s="34">
        <v>93903.5</v>
      </c>
      <c r="G56" s="51">
        <v>113333.4</v>
      </c>
      <c r="H56" s="51">
        <v>65947.8</v>
      </c>
      <c r="I56" s="34">
        <v>88514.6</v>
      </c>
      <c r="J56" s="28">
        <f>SUM(I56/G56)*100</f>
        <v>78.10107170525194</v>
      </c>
      <c r="K56" s="28">
        <f t="shared" si="5"/>
        <v>134.21918547699846</v>
      </c>
      <c r="L56" s="28">
        <f t="shared" si="9"/>
        <v>5388.899999999994</v>
      </c>
      <c r="M56" s="28">
        <f t="shared" si="12"/>
        <v>81.41444615115756</v>
      </c>
      <c r="N56" s="28">
        <f t="shared" si="6"/>
        <v>94.26123626914865</v>
      </c>
      <c r="O56" s="22">
        <f>N56-100</f>
        <v>-5.738763730851346</v>
      </c>
      <c r="P56" s="22">
        <f>M56-95</f>
        <v>-13.585553848842437</v>
      </c>
      <c r="Q56" s="22">
        <f>D56/D55*100</f>
        <v>81.65081529902308</v>
      </c>
      <c r="R56" s="22">
        <f>Q56/100*100</f>
        <v>81.65081529902308</v>
      </c>
      <c r="S56" s="22">
        <f>Q56/100*95</f>
        <v>77.56827453407193</v>
      </c>
    </row>
    <row r="57" spans="1:19" s="16" customFormat="1" ht="15.75" customHeight="1">
      <c r="A57" s="104"/>
      <c r="B57" s="104"/>
      <c r="C57" s="6" t="s">
        <v>70</v>
      </c>
      <c r="D57" s="34">
        <v>24432.6</v>
      </c>
      <c r="E57" s="34">
        <v>24432.6</v>
      </c>
      <c r="F57" s="34">
        <v>24432.6</v>
      </c>
      <c r="G57" s="51">
        <v>24152.4</v>
      </c>
      <c r="H57" s="51">
        <f>D57/12*11</f>
        <v>22396.55</v>
      </c>
      <c r="I57" s="88">
        <v>23828.4</v>
      </c>
      <c r="J57" s="28">
        <f>I57/G57*100</f>
        <v>98.6585184081085</v>
      </c>
      <c r="K57" s="28">
        <f t="shared" si="5"/>
        <v>106.39317216267685</v>
      </c>
      <c r="L57" s="28">
        <f t="shared" si="9"/>
        <v>604.1999999999971</v>
      </c>
      <c r="M57" s="28">
        <f t="shared" si="12"/>
        <v>97.52707448245378</v>
      </c>
      <c r="N57" s="28">
        <f t="shared" si="6"/>
        <v>97.52707448245378</v>
      </c>
      <c r="O57" s="22">
        <f>N57-95</f>
        <v>2.5270744824537843</v>
      </c>
      <c r="P57" s="22">
        <f>M57-95</f>
        <v>2.5270744824537843</v>
      </c>
      <c r="Q57" s="22">
        <f>D57/D55*100</f>
        <v>18.349184700976913</v>
      </c>
      <c r="R57" s="22">
        <f>Q57/100*95</f>
        <v>17.431725465928068</v>
      </c>
      <c r="S57" s="22">
        <f>Q57/100*90</f>
        <v>16.514266230879223</v>
      </c>
    </row>
    <row r="58" spans="1:20" s="16" customFormat="1" ht="27" customHeight="1">
      <c r="A58" s="4" t="s">
        <v>22</v>
      </c>
      <c r="B58" s="5" t="s">
        <v>23</v>
      </c>
      <c r="C58" s="5" t="s">
        <v>83</v>
      </c>
      <c r="D58" s="32">
        <f>D59+D60</f>
        <v>127600.5</v>
      </c>
      <c r="E58" s="89">
        <f t="shared" si="4"/>
        <v>116967.125</v>
      </c>
      <c r="F58" s="32">
        <f>F59+F60</f>
        <v>116762.70000000001</v>
      </c>
      <c r="G58" s="89">
        <f>G59+G60</f>
        <v>134761.4</v>
      </c>
      <c r="H58" s="89">
        <f>H59+H60</f>
        <v>85175.69166666667</v>
      </c>
      <c r="I58" s="32">
        <f>I59+I60</f>
        <v>115733.2</v>
      </c>
      <c r="J58" s="31">
        <f>SUM(I58/G58)*100</f>
        <v>85.88008138829072</v>
      </c>
      <c r="K58" s="31">
        <f t="shared" si="5"/>
        <v>135.87585581684445</v>
      </c>
      <c r="L58" s="31">
        <f t="shared" si="9"/>
        <v>1029.5000000000146</v>
      </c>
      <c r="M58" s="31">
        <f t="shared" si="12"/>
        <v>90.69964459386914</v>
      </c>
      <c r="N58" s="31">
        <f t="shared" si="6"/>
        <v>99.1182971959367</v>
      </c>
      <c r="O58" s="8" t="s">
        <v>124</v>
      </c>
      <c r="P58" s="8" t="s">
        <v>124</v>
      </c>
      <c r="Q58" s="32">
        <f>Q59+Q60</f>
        <v>100</v>
      </c>
      <c r="R58" s="32">
        <f>R59+R60</f>
        <v>99.0675545942218</v>
      </c>
      <c r="S58" s="32">
        <f>S59+S60</f>
        <v>94.0675545942218</v>
      </c>
      <c r="T58" s="72">
        <v>2</v>
      </c>
    </row>
    <row r="59" spans="1:19" s="16" customFormat="1" ht="16.5" customHeight="1">
      <c r="A59" s="104"/>
      <c r="B59" s="104"/>
      <c r="C59" s="6" t="s">
        <v>69</v>
      </c>
      <c r="D59" s="34">
        <v>103804.4</v>
      </c>
      <c r="E59" s="51">
        <f t="shared" si="4"/>
        <v>95154.03333333334</v>
      </c>
      <c r="F59" s="34">
        <v>92966.6</v>
      </c>
      <c r="G59" s="51">
        <v>110612.8</v>
      </c>
      <c r="H59" s="51">
        <v>63362.6</v>
      </c>
      <c r="I59" s="34">
        <v>92569.2</v>
      </c>
      <c r="J59" s="28">
        <f>SUM(I59/G59)*100</f>
        <v>83.6876021581589</v>
      </c>
      <c r="K59" s="28">
        <f t="shared" si="5"/>
        <v>146.09438375319195</v>
      </c>
      <c r="L59" s="28">
        <f t="shared" si="9"/>
        <v>397.40000000000873</v>
      </c>
      <c r="M59" s="28">
        <f t="shared" si="12"/>
        <v>89.17656669659475</v>
      </c>
      <c r="N59" s="28">
        <f t="shared" si="6"/>
        <v>99.57253465222993</v>
      </c>
      <c r="O59" s="22">
        <f>N59-100</f>
        <v>-0.42746534777006673</v>
      </c>
      <c r="P59" s="22">
        <f>M59-95</f>
        <v>-5.823433303405253</v>
      </c>
      <c r="Q59" s="22">
        <f>D59/D58*100</f>
        <v>81.35109188443619</v>
      </c>
      <c r="R59" s="22">
        <f>Q59/100*100</f>
        <v>81.35109188443619</v>
      </c>
      <c r="S59" s="22">
        <f>Q59/100*95</f>
        <v>77.28353729021438</v>
      </c>
    </row>
    <row r="60" spans="1:19" s="16" customFormat="1" ht="15.75" customHeight="1">
      <c r="A60" s="104"/>
      <c r="B60" s="104"/>
      <c r="C60" s="6" t="s">
        <v>70</v>
      </c>
      <c r="D60" s="34">
        <v>23796.1</v>
      </c>
      <c r="E60" s="51">
        <f t="shared" si="4"/>
        <v>21813.091666666667</v>
      </c>
      <c r="F60" s="34">
        <v>23796.1</v>
      </c>
      <c r="G60" s="51">
        <v>24148.6</v>
      </c>
      <c r="H60" s="51">
        <f>D60/12*11</f>
        <v>21813.091666666667</v>
      </c>
      <c r="I60" s="34">
        <v>23164</v>
      </c>
      <c r="J60" s="28">
        <f>I60/G60*100</f>
        <v>95.92274500385116</v>
      </c>
      <c r="K60" s="28">
        <f t="shared" si="5"/>
        <v>106.19310803794815</v>
      </c>
      <c r="L60" s="28">
        <f t="shared" si="9"/>
        <v>632.0999999999985</v>
      </c>
      <c r="M60" s="28">
        <f t="shared" si="12"/>
        <v>97.34368236811916</v>
      </c>
      <c r="N60" s="28">
        <f t="shared" si="6"/>
        <v>97.34368236811916</v>
      </c>
      <c r="O60" s="22">
        <f>N60-95</f>
        <v>2.343682368119161</v>
      </c>
      <c r="P60" s="22">
        <f>M60-95</f>
        <v>2.343682368119161</v>
      </c>
      <c r="Q60" s="22">
        <f>D60/D58*100</f>
        <v>18.64890811556381</v>
      </c>
      <c r="R60" s="22">
        <f>Q60/100*95</f>
        <v>17.716462709785617</v>
      </c>
      <c r="S60" s="22">
        <f>Q60/100*90</f>
        <v>16.784017304007428</v>
      </c>
    </row>
    <row r="61" spans="1:20" s="16" customFormat="1" ht="27" customHeight="1">
      <c r="A61" s="4" t="s">
        <v>24</v>
      </c>
      <c r="B61" s="5" t="s">
        <v>25</v>
      </c>
      <c r="C61" s="5" t="s">
        <v>82</v>
      </c>
      <c r="D61" s="32">
        <f>D62+D63</f>
        <v>132356.7</v>
      </c>
      <c r="E61" s="89">
        <f t="shared" si="4"/>
        <v>121326.975</v>
      </c>
      <c r="F61" s="32">
        <f>F62+F63</f>
        <v>121694.2</v>
      </c>
      <c r="G61" s="89">
        <f>G62+G63</f>
        <v>135122.4</v>
      </c>
      <c r="H61" s="89">
        <f>H62+H63</f>
        <v>98165.36666666667</v>
      </c>
      <c r="I61" s="32">
        <f>I62+I63</f>
        <v>118950.20000000001</v>
      </c>
      <c r="J61" s="31">
        <f>SUM(I61/G61)*100</f>
        <v>88.03144408329042</v>
      </c>
      <c r="K61" s="31">
        <f t="shared" si="5"/>
        <v>121.17328548663293</v>
      </c>
      <c r="L61" s="31">
        <f t="shared" si="9"/>
        <v>2743.9999999999854</v>
      </c>
      <c r="M61" s="31">
        <f t="shared" si="12"/>
        <v>89.87093210997253</v>
      </c>
      <c r="N61" s="31">
        <f t="shared" si="6"/>
        <v>97.74516780586093</v>
      </c>
      <c r="O61" s="8" t="s">
        <v>124</v>
      </c>
      <c r="P61" s="8" t="s">
        <v>124</v>
      </c>
      <c r="Q61" s="32">
        <f>Q62+Q63</f>
        <v>100</v>
      </c>
      <c r="R61" s="32">
        <f>R62+R63</f>
        <v>99.0732165428724</v>
      </c>
      <c r="S61" s="32">
        <f>S62+S63</f>
        <v>94.0732165428724</v>
      </c>
      <c r="T61" s="72">
        <v>3</v>
      </c>
    </row>
    <row r="62" spans="1:19" s="16" customFormat="1" ht="16.5" customHeight="1">
      <c r="A62" s="104"/>
      <c r="B62" s="104"/>
      <c r="C62" s="6" t="s">
        <v>69</v>
      </c>
      <c r="D62" s="34">
        <v>107823.5</v>
      </c>
      <c r="E62" s="51">
        <f t="shared" si="4"/>
        <v>98838.20833333333</v>
      </c>
      <c r="F62" s="34">
        <v>97161</v>
      </c>
      <c r="G62" s="51">
        <v>110910.3</v>
      </c>
      <c r="H62" s="51">
        <v>75676.6</v>
      </c>
      <c r="I62" s="34">
        <v>95088.6</v>
      </c>
      <c r="J62" s="28">
        <f>SUM(I62/G62)*100</f>
        <v>85.73468830216852</v>
      </c>
      <c r="K62" s="28">
        <f t="shared" si="5"/>
        <v>125.65125811677586</v>
      </c>
      <c r="L62" s="28">
        <f t="shared" si="9"/>
        <v>2072.399999999994</v>
      </c>
      <c r="M62" s="28">
        <f t="shared" si="12"/>
        <v>88.18912389228693</v>
      </c>
      <c r="N62" s="28">
        <f t="shared" si="6"/>
        <v>97.86704541945844</v>
      </c>
      <c r="O62" s="22">
        <f>N62-100</f>
        <v>-2.132954580541565</v>
      </c>
      <c r="P62" s="22">
        <f>M62-95</f>
        <v>-6.810876107713071</v>
      </c>
      <c r="Q62" s="22">
        <f>D62/D61*100</f>
        <v>81.46433085744809</v>
      </c>
      <c r="R62" s="22">
        <f>Q62/100*100</f>
        <v>81.46433085744809</v>
      </c>
      <c r="S62" s="22">
        <f>Q62/100*95</f>
        <v>77.39111431457569</v>
      </c>
    </row>
    <row r="63" spans="1:19" s="16" customFormat="1" ht="17.25" customHeight="1">
      <c r="A63" s="104"/>
      <c r="B63" s="104"/>
      <c r="C63" s="6" t="s">
        <v>70</v>
      </c>
      <c r="D63" s="34">
        <v>24533.2</v>
      </c>
      <c r="E63" s="51">
        <f t="shared" si="4"/>
        <v>22488.766666666666</v>
      </c>
      <c r="F63" s="34">
        <v>24533.2</v>
      </c>
      <c r="G63" s="51">
        <v>24212.1</v>
      </c>
      <c r="H63" s="51">
        <f>D63/12*11</f>
        <v>22488.766666666666</v>
      </c>
      <c r="I63" s="88">
        <v>23861.6</v>
      </c>
      <c r="J63" s="28">
        <f>I63/G63*100</f>
        <v>98.55237670420988</v>
      </c>
      <c r="K63" s="28">
        <f t="shared" si="5"/>
        <v>106.10452922422009</v>
      </c>
      <c r="L63" s="28">
        <f t="shared" si="9"/>
        <v>671.6000000000022</v>
      </c>
      <c r="M63" s="28">
        <f t="shared" si="12"/>
        <v>97.26248512220175</v>
      </c>
      <c r="N63" s="28">
        <f t="shared" si="6"/>
        <v>97.26248512220175</v>
      </c>
      <c r="O63" s="22">
        <f>N63-95</f>
        <v>2.2624851222017526</v>
      </c>
      <c r="P63" s="22">
        <f>M63-95</f>
        <v>2.2624851222017526</v>
      </c>
      <c r="Q63" s="22">
        <f>D63/D61*100</f>
        <v>18.535669142551907</v>
      </c>
      <c r="R63" s="22">
        <f>Q63/100*95</f>
        <v>17.608885685424312</v>
      </c>
      <c r="S63" s="22">
        <f>Q63/100*90</f>
        <v>16.682102228296714</v>
      </c>
    </row>
    <row r="64" spans="1:20" s="16" customFormat="1" ht="27" customHeight="1">
      <c r="A64" s="4" t="s">
        <v>26</v>
      </c>
      <c r="B64" s="5" t="s">
        <v>27</v>
      </c>
      <c r="C64" s="5" t="s">
        <v>126</v>
      </c>
      <c r="D64" s="32">
        <f>D65+D66</f>
        <v>119381.8</v>
      </c>
      <c r="E64" s="89">
        <f t="shared" si="4"/>
        <v>109433.31666666667</v>
      </c>
      <c r="F64" s="32">
        <f>F65+F66</f>
        <v>110260.3</v>
      </c>
      <c r="G64" s="89">
        <f>G65+G66</f>
        <v>121339.5</v>
      </c>
      <c r="H64" s="89">
        <f>H65+H66</f>
        <v>91193.34166666667</v>
      </c>
      <c r="I64" s="32">
        <f>I65+I66</f>
        <v>107202.2</v>
      </c>
      <c r="J64" s="31">
        <f>SUM(I64/G64)*100</f>
        <v>88.34897127481159</v>
      </c>
      <c r="K64" s="31">
        <f t="shared" si="5"/>
        <v>117.55485437944526</v>
      </c>
      <c r="L64" s="31">
        <f t="shared" si="9"/>
        <v>3058.100000000006</v>
      </c>
      <c r="M64" s="31">
        <f t="shared" si="12"/>
        <v>89.79777487020634</v>
      </c>
      <c r="N64" s="31">
        <f t="shared" si="6"/>
        <v>97.22647226608308</v>
      </c>
      <c r="O64" s="8" t="s">
        <v>124</v>
      </c>
      <c r="P64" s="8" t="s">
        <v>124</v>
      </c>
      <c r="Q64" s="32">
        <f>Q65+Q66</f>
        <v>100</v>
      </c>
      <c r="R64" s="32">
        <f>R65+R66</f>
        <v>99.03731138247203</v>
      </c>
      <c r="S64" s="32">
        <f>S65+S66</f>
        <v>94.03731138247203</v>
      </c>
      <c r="T64" s="72">
        <v>1</v>
      </c>
    </row>
    <row r="65" spans="1:19" s="16" customFormat="1" ht="16.5" customHeight="1">
      <c r="A65" s="104"/>
      <c r="B65" s="104"/>
      <c r="C65" s="6" t="s">
        <v>69</v>
      </c>
      <c r="D65" s="34">
        <v>96396.3</v>
      </c>
      <c r="E65" s="51">
        <f t="shared" si="4"/>
        <v>88363.27500000001</v>
      </c>
      <c r="F65" s="34">
        <v>87274.8</v>
      </c>
      <c r="G65" s="51">
        <v>97955.8</v>
      </c>
      <c r="H65" s="51">
        <v>70123.3</v>
      </c>
      <c r="I65" s="34">
        <v>85395.2</v>
      </c>
      <c r="J65" s="28">
        <f>SUM(I65/G65)*100</f>
        <v>87.17727791514132</v>
      </c>
      <c r="K65" s="28">
        <f t="shared" si="5"/>
        <v>121.77863848392758</v>
      </c>
      <c r="L65" s="28">
        <f t="shared" si="9"/>
        <v>1879.6000000000058</v>
      </c>
      <c r="M65" s="28">
        <f t="shared" si="12"/>
        <v>88.58763251286615</v>
      </c>
      <c r="N65" s="28">
        <f t="shared" si="6"/>
        <v>97.84634281602477</v>
      </c>
      <c r="O65" s="22">
        <f>N65-100</f>
        <v>-2.153657183975227</v>
      </c>
      <c r="P65" s="22">
        <f>M65-95</f>
        <v>-6.412367487133849</v>
      </c>
      <c r="Q65" s="22">
        <f>D65/D64*100</f>
        <v>80.7462276494407</v>
      </c>
      <c r="R65" s="22">
        <f>Q65/100*100</f>
        <v>80.7462276494407</v>
      </c>
      <c r="S65" s="22">
        <f>Q65/100*95</f>
        <v>76.70891626696866</v>
      </c>
    </row>
    <row r="66" spans="1:19" s="16" customFormat="1" ht="16.5" customHeight="1">
      <c r="A66" s="104"/>
      <c r="B66" s="104"/>
      <c r="C66" s="6" t="s">
        <v>70</v>
      </c>
      <c r="D66" s="34">
        <v>22985.5</v>
      </c>
      <c r="E66" s="51">
        <f t="shared" si="4"/>
        <v>21070.041666666664</v>
      </c>
      <c r="F66" s="34">
        <v>22985.5</v>
      </c>
      <c r="G66" s="51">
        <v>23383.7</v>
      </c>
      <c r="H66" s="51">
        <f>D66/12*11</f>
        <v>21070.041666666664</v>
      </c>
      <c r="I66" s="88">
        <v>21807</v>
      </c>
      <c r="J66" s="28">
        <f>I66/G66*100</f>
        <v>93.25726895230439</v>
      </c>
      <c r="K66" s="28">
        <f t="shared" si="5"/>
        <v>103.4976595917189</v>
      </c>
      <c r="L66" s="28">
        <f t="shared" si="9"/>
        <v>1178.5</v>
      </c>
      <c r="M66" s="28">
        <f t="shared" si="12"/>
        <v>94.87285462574232</v>
      </c>
      <c r="N66" s="28">
        <f t="shared" si="6"/>
        <v>94.87285462574232</v>
      </c>
      <c r="O66" s="22">
        <f>N66-95</f>
        <v>-0.12714537425767958</v>
      </c>
      <c r="P66" s="22">
        <f>M66-95</f>
        <v>-0.12714537425767958</v>
      </c>
      <c r="Q66" s="22">
        <f>D66/D64*100</f>
        <v>19.2537723505593</v>
      </c>
      <c r="R66" s="22">
        <f>Q66/100*95</f>
        <v>18.291083733031332</v>
      </c>
      <c r="S66" s="22">
        <f>Q66/100*90</f>
        <v>17.32839511550337</v>
      </c>
    </row>
    <row r="67" spans="1:20" s="16" customFormat="1" ht="27" customHeight="1">
      <c r="A67" s="4" t="s">
        <v>28</v>
      </c>
      <c r="B67" s="5" t="s">
        <v>29</v>
      </c>
      <c r="C67" s="5" t="s">
        <v>81</v>
      </c>
      <c r="D67" s="32">
        <f>D68+D69</f>
        <v>27087.2</v>
      </c>
      <c r="E67" s="89">
        <f t="shared" si="4"/>
        <v>24829.933333333334</v>
      </c>
      <c r="F67" s="32">
        <f>F68+F69</f>
        <v>24832.7</v>
      </c>
      <c r="G67" s="89">
        <f>G68+G69</f>
        <v>27109.8</v>
      </c>
      <c r="H67" s="89">
        <f>H68+H69</f>
        <v>20979.891666666666</v>
      </c>
      <c r="I67" s="32">
        <f>I68+I69</f>
        <v>24654.6</v>
      </c>
      <c r="J67" s="31">
        <f>SUM(I67/G67)*100</f>
        <v>90.94349644777903</v>
      </c>
      <c r="K67" s="31">
        <f>I67/H67*100</f>
        <v>117.5153827851828</v>
      </c>
      <c r="L67" s="31">
        <f t="shared" si="9"/>
        <v>178.10000000000218</v>
      </c>
      <c r="M67" s="31">
        <f t="shared" si="12"/>
        <v>91.01937446469181</v>
      </c>
      <c r="N67" s="31">
        <f t="shared" si="6"/>
        <v>99.28280050095236</v>
      </c>
      <c r="O67" s="8" t="s">
        <v>124</v>
      </c>
      <c r="P67" s="8" t="s">
        <v>124</v>
      </c>
      <c r="Q67" s="32">
        <f>Q68+Q69</f>
        <v>99.99999999999999</v>
      </c>
      <c r="R67" s="32">
        <f>R68+R69</f>
        <v>99.81989648247142</v>
      </c>
      <c r="S67" s="32">
        <f>S68+S69</f>
        <v>94.81989648247142</v>
      </c>
      <c r="T67" s="72">
        <v>3</v>
      </c>
    </row>
    <row r="68" spans="1:19" s="16" customFormat="1" ht="15.75" customHeight="1">
      <c r="A68" s="104"/>
      <c r="B68" s="104"/>
      <c r="C68" s="6" t="s">
        <v>69</v>
      </c>
      <c r="D68" s="34">
        <v>26111.5</v>
      </c>
      <c r="E68" s="51">
        <f t="shared" si="4"/>
        <v>23935.541666666668</v>
      </c>
      <c r="F68" s="34">
        <v>23857</v>
      </c>
      <c r="G68" s="51">
        <v>26149.1</v>
      </c>
      <c r="H68" s="51">
        <v>20085.5</v>
      </c>
      <c r="I68" s="34">
        <v>23680.6</v>
      </c>
      <c r="J68" s="28">
        <f>SUM(I68/G68)*100</f>
        <v>90.55990454738404</v>
      </c>
      <c r="K68" s="28">
        <f t="shared" si="5"/>
        <v>117.8989818525802</v>
      </c>
      <c r="L68" s="28">
        <f t="shared" si="9"/>
        <v>176.40000000000146</v>
      </c>
      <c r="M68" s="28">
        <f t="shared" si="12"/>
        <v>90.69030886774027</v>
      </c>
      <c r="N68" s="28">
        <f t="shared" si="6"/>
        <v>99.26059437481662</v>
      </c>
      <c r="O68" s="22">
        <f>N68-100</f>
        <v>-0.7394056251833803</v>
      </c>
      <c r="P68" s="22">
        <f>M68-95</f>
        <v>-4.309691132259729</v>
      </c>
      <c r="Q68" s="22">
        <f>D68/D67*100</f>
        <v>96.3979296494285</v>
      </c>
      <c r="R68" s="22">
        <f>Q68/100*100</f>
        <v>96.3979296494285</v>
      </c>
      <c r="S68" s="22">
        <f>Q68/100*95</f>
        <v>91.57803316695708</v>
      </c>
    </row>
    <row r="69" spans="1:19" s="16" customFormat="1" ht="15.75" customHeight="1">
      <c r="A69" s="104"/>
      <c r="B69" s="104"/>
      <c r="C69" s="6" t="s">
        <v>70</v>
      </c>
      <c r="D69" s="34">
        <v>975.7</v>
      </c>
      <c r="E69" s="51">
        <f t="shared" si="4"/>
        <v>894.3916666666667</v>
      </c>
      <c r="F69" s="34">
        <v>975.7</v>
      </c>
      <c r="G69" s="51">
        <v>960.7</v>
      </c>
      <c r="H69" s="51">
        <f>D69/12*11</f>
        <v>894.3916666666667</v>
      </c>
      <c r="I69" s="88">
        <v>974</v>
      </c>
      <c r="J69" s="28">
        <f>I69/G69*100</f>
        <v>101.38440720308108</v>
      </c>
      <c r="K69" s="28">
        <f t="shared" si="5"/>
        <v>108.90083576360097</v>
      </c>
      <c r="L69" s="28">
        <f t="shared" si="9"/>
        <v>1.7000000000000455</v>
      </c>
      <c r="M69" s="28">
        <f t="shared" si="12"/>
        <v>99.82576611663421</v>
      </c>
      <c r="N69" s="28">
        <f t="shared" si="6"/>
        <v>99.82576611663421</v>
      </c>
      <c r="O69" s="22">
        <f>N69-95</f>
        <v>4.825766116634213</v>
      </c>
      <c r="P69" s="22">
        <f>M69-95</f>
        <v>4.825766116634213</v>
      </c>
      <c r="Q69" s="22">
        <f>D69/D67*100</f>
        <v>3.6020703505714873</v>
      </c>
      <c r="R69" s="22">
        <f>Q69/100*95</f>
        <v>3.421966833042913</v>
      </c>
      <c r="S69" s="22">
        <f>Q69/100*90</f>
        <v>3.2418633155143386</v>
      </c>
    </row>
    <row r="70" spans="1:20" s="16" customFormat="1" ht="43.5" customHeight="1">
      <c r="A70" s="4" t="s">
        <v>30</v>
      </c>
      <c r="B70" s="5" t="s">
        <v>31</v>
      </c>
      <c r="C70" s="5" t="s">
        <v>85</v>
      </c>
      <c r="D70" s="32">
        <f>D71+D72+D73</f>
        <v>1687536.6</v>
      </c>
      <c r="E70" s="89">
        <f t="shared" si="4"/>
        <v>1546908.5500000003</v>
      </c>
      <c r="F70" s="32">
        <f>F71+F72+F73</f>
        <v>1675640.6</v>
      </c>
      <c r="G70" s="89">
        <f>G71+G72+G73</f>
        <v>1396261</v>
      </c>
      <c r="H70" s="89">
        <f>H71+H72+H73</f>
        <v>1533898.7166666668</v>
      </c>
      <c r="I70" s="32">
        <f>I71+I72+I73</f>
        <v>1501230.0999999999</v>
      </c>
      <c r="J70" s="31">
        <f aca="true" t="shared" si="13" ref="J70:J89">SUM(I70/G70)*100</f>
        <v>107.51787094246706</v>
      </c>
      <c r="K70" s="31">
        <f t="shared" si="5"/>
        <v>97.87022335231758</v>
      </c>
      <c r="L70" s="31">
        <f t="shared" si="9"/>
        <v>174410.50000000023</v>
      </c>
      <c r="M70" s="31">
        <f t="shared" si="12"/>
        <v>88.959854263309</v>
      </c>
      <c r="N70" s="31">
        <f t="shared" si="6"/>
        <v>89.59141357639578</v>
      </c>
      <c r="O70" s="8" t="s">
        <v>124</v>
      </c>
      <c r="P70" s="8" t="s">
        <v>124</v>
      </c>
      <c r="Q70" s="32">
        <f>Q71+Q72+Q73</f>
        <v>100</v>
      </c>
      <c r="R70" s="32">
        <f>R71+R72+R73</f>
        <v>97.95434896049069</v>
      </c>
      <c r="S70" s="32">
        <f>S71+S72+S73</f>
        <v>92.95434896049069</v>
      </c>
      <c r="T70" s="72">
        <v>1</v>
      </c>
    </row>
    <row r="71" spans="1:19" s="16" customFormat="1" ht="15.75" customHeight="1">
      <c r="A71" s="104"/>
      <c r="B71" s="104"/>
      <c r="C71" s="6" t="s">
        <v>69</v>
      </c>
      <c r="D71" s="34">
        <v>997114.4</v>
      </c>
      <c r="E71" s="51">
        <f t="shared" si="4"/>
        <v>914021.5333333333</v>
      </c>
      <c r="F71" s="34">
        <v>985218.4</v>
      </c>
      <c r="G71" s="51">
        <v>706493.1</v>
      </c>
      <c r="H71" s="51">
        <v>901011.7</v>
      </c>
      <c r="I71" s="34">
        <v>961431.7</v>
      </c>
      <c r="J71" s="28">
        <f t="shared" si="13"/>
        <v>136.08507995336402</v>
      </c>
      <c r="K71" s="28">
        <f t="shared" si="5"/>
        <v>106.7057952743566</v>
      </c>
      <c r="L71" s="28">
        <f t="shared" si="9"/>
        <v>23786.70000000007</v>
      </c>
      <c r="M71" s="28">
        <f t="shared" si="12"/>
        <v>96.4214036022346</v>
      </c>
      <c r="N71" s="28">
        <f t="shared" si="6"/>
        <v>97.58564192467375</v>
      </c>
      <c r="O71" s="22">
        <f>N71-100</f>
        <v>-2.4143580753262484</v>
      </c>
      <c r="P71" s="22">
        <f>M71-95</f>
        <v>1.421403602234605</v>
      </c>
      <c r="Q71" s="22">
        <f>D71/D70*100</f>
        <v>59.086979209813876</v>
      </c>
      <c r="R71" s="22">
        <f>Q71/100*100</f>
        <v>59.086979209813876</v>
      </c>
      <c r="S71" s="22">
        <f>Q71/100*95</f>
        <v>56.13263024932318</v>
      </c>
    </row>
    <row r="72" spans="1:19" s="16" customFormat="1" ht="25.5">
      <c r="A72" s="104"/>
      <c r="B72" s="104"/>
      <c r="C72" s="6" t="s">
        <v>129</v>
      </c>
      <c r="D72" s="34">
        <v>686999.3</v>
      </c>
      <c r="E72" s="51">
        <f aca="true" t="shared" si="14" ref="E72:E128">D72/12*11</f>
        <v>629749.3583333334</v>
      </c>
      <c r="F72" s="34">
        <v>686999.3</v>
      </c>
      <c r="G72" s="51">
        <v>686872.3</v>
      </c>
      <c r="H72" s="51">
        <f>D72/12*11</f>
        <v>629749.3583333334</v>
      </c>
      <c r="I72" s="34">
        <v>537945.6</v>
      </c>
      <c r="J72" s="28">
        <f t="shared" si="13"/>
        <v>78.31813861179144</v>
      </c>
      <c r="K72" s="28">
        <f aca="true" t="shared" si="15" ref="K72:K135">I72/H72*100</f>
        <v>85.42217516881682</v>
      </c>
      <c r="L72" s="28">
        <f t="shared" si="9"/>
        <v>149053.70000000007</v>
      </c>
      <c r="M72" s="28">
        <f t="shared" si="12"/>
        <v>78.30366057141542</v>
      </c>
      <c r="N72" s="28">
        <f t="shared" si="6"/>
        <v>78.30366057141542</v>
      </c>
      <c r="O72" s="22">
        <f>N72-95</f>
        <v>-16.69633942858458</v>
      </c>
      <c r="P72" s="22">
        <f>M72-95</f>
        <v>-16.69633942858458</v>
      </c>
      <c r="Q72" s="22">
        <f>D72/D70*100</f>
        <v>40.710186670914275</v>
      </c>
      <c r="R72" s="22">
        <f>Q72/100*95</f>
        <v>38.674677337368564</v>
      </c>
      <c r="S72" s="22">
        <f>Q72/100*90</f>
        <v>36.63916800382285</v>
      </c>
    </row>
    <row r="73" spans="1:19" s="16" customFormat="1" ht="27" customHeight="1">
      <c r="A73" s="104"/>
      <c r="B73" s="104"/>
      <c r="C73" s="6" t="s">
        <v>71</v>
      </c>
      <c r="D73" s="34">
        <v>3422.9</v>
      </c>
      <c r="E73" s="34">
        <v>3422.9</v>
      </c>
      <c r="F73" s="34">
        <v>3422.9</v>
      </c>
      <c r="G73" s="51">
        <v>2895.6</v>
      </c>
      <c r="H73" s="51">
        <f>D73/12*11</f>
        <v>3137.6583333333333</v>
      </c>
      <c r="I73" s="34">
        <v>1852.8</v>
      </c>
      <c r="J73" s="28">
        <f t="shared" si="13"/>
        <v>63.98673849979279</v>
      </c>
      <c r="K73" s="28">
        <f t="shared" si="15"/>
        <v>59.05040648679084</v>
      </c>
      <c r="L73" s="28">
        <f t="shared" si="9"/>
        <v>1570.1000000000001</v>
      </c>
      <c r="M73" s="28">
        <f aca="true" t="shared" si="16" ref="M73:M104">I73/D73*100</f>
        <v>54.12953927955827</v>
      </c>
      <c r="N73" s="28">
        <f aca="true" t="shared" si="17" ref="N73:N139">I73/F73*100</f>
        <v>54.12953927955827</v>
      </c>
      <c r="O73" s="22">
        <f>N73-95</f>
        <v>-40.87046072044173</v>
      </c>
      <c r="P73" s="22">
        <f>M73-95</f>
        <v>-40.87046072044173</v>
      </c>
      <c r="Q73" s="22">
        <f>D73/D70*100</f>
        <v>0.20283411927184275</v>
      </c>
      <c r="R73" s="22">
        <f>Q73/100*95</f>
        <v>0.1926924133082506</v>
      </c>
      <c r="S73" s="22">
        <f>Q73/100*90</f>
        <v>0.18255070734465847</v>
      </c>
    </row>
    <row r="74" spans="1:20" s="16" customFormat="1" ht="38.25">
      <c r="A74" s="4" t="s">
        <v>136</v>
      </c>
      <c r="B74" s="5" t="s">
        <v>137</v>
      </c>
      <c r="C74" s="5" t="s">
        <v>138</v>
      </c>
      <c r="D74" s="32">
        <f>D75+D77+D76</f>
        <v>198681.9</v>
      </c>
      <c r="E74" s="89">
        <f t="shared" si="14"/>
        <v>182125.075</v>
      </c>
      <c r="F74" s="32">
        <f>F75+F77+F76</f>
        <v>198681.9</v>
      </c>
      <c r="G74" s="89">
        <f>G75+G77+G76</f>
        <v>252614.30000000002</v>
      </c>
      <c r="H74" s="89">
        <f>H75+H77+H76</f>
        <v>80847.35833333334</v>
      </c>
      <c r="I74" s="32">
        <f>I75+I77+I76</f>
        <v>97295.6</v>
      </c>
      <c r="J74" s="31">
        <f t="shared" si="13"/>
        <v>38.515475964741505</v>
      </c>
      <c r="K74" s="31">
        <f t="shared" si="15"/>
        <v>120.3448102767324</v>
      </c>
      <c r="L74" s="31">
        <f t="shared" si="9"/>
        <v>101386.29999999999</v>
      </c>
      <c r="M74" s="31">
        <f t="shared" si="16"/>
        <v>48.97054034615132</v>
      </c>
      <c r="N74" s="31">
        <f t="shared" si="17"/>
        <v>48.97054034615132</v>
      </c>
      <c r="O74" s="8" t="s">
        <v>124</v>
      </c>
      <c r="P74" s="8" t="s">
        <v>124</v>
      </c>
      <c r="Q74" s="32">
        <f>Q75+Q77+Q76</f>
        <v>100</v>
      </c>
      <c r="R74" s="32">
        <f>R75+R77+R76</f>
        <v>97.91465402736738</v>
      </c>
      <c r="S74" s="32">
        <f>S75+S77+S76</f>
        <v>92.91465402736736</v>
      </c>
      <c r="T74" s="72">
        <v>1</v>
      </c>
    </row>
    <row r="75" spans="1:19" s="16" customFormat="1" ht="15.75" customHeight="1">
      <c r="A75" s="104"/>
      <c r="B75" s="104"/>
      <c r="C75" s="6" t="s">
        <v>69</v>
      </c>
      <c r="D75" s="34">
        <v>115817.8</v>
      </c>
      <c r="E75" s="51">
        <f t="shared" si="14"/>
        <v>106166.31666666667</v>
      </c>
      <c r="F75" s="34">
        <f>138389.8-22572</f>
        <v>115817.79999999999</v>
      </c>
      <c r="G75" s="51">
        <v>169750.2</v>
      </c>
      <c r="H75" s="51">
        <v>4888.6</v>
      </c>
      <c r="I75" s="34">
        <v>33908.3</v>
      </c>
      <c r="J75" s="28">
        <f t="shared" si="13"/>
        <v>19.975410927350897</v>
      </c>
      <c r="K75" s="28">
        <f t="shared" si="15"/>
        <v>693.6198502638792</v>
      </c>
      <c r="L75" s="28">
        <f t="shared" si="9"/>
        <v>81909.49999999999</v>
      </c>
      <c r="M75" s="28">
        <f t="shared" si="16"/>
        <v>29.27727862211163</v>
      </c>
      <c r="N75" s="28">
        <f t="shared" si="17"/>
        <v>29.27727862211163</v>
      </c>
      <c r="O75" s="22">
        <f>N75-100</f>
        <v>-70.72272137788838</v>
      </c>
      <c r="P75" s="22">
        <f>M75-95</f>
        <v>-65.72272137788838</v>
      </c>
      <c r="Q75" s="22">
        <f>D75/D74*100</f>
        <v>58.2930805473473</v>
      </c>
      <c r="R75" s="22">
        <f>Q75/100*100</f>
        <v>58.2930805473473</v>
      </c>
      <c r="S75" s="22">
        <f>Q75/100*95</f>
        <v>55.37842651997993</v>
      </c>
    </row>
    <row r="76" spans="1:19" s="16" customFormat="1" ht="16.5" customHeight="1">
      <c r="A76" s="104"/>
      <c r="B76" s="104"/>
      <c r="C76" s="6" t="s">
        <v>70</v>
      </c>
      <c r="D76" s="34">
        <v>28500</v>
      </c>
      <c r="E76" s="51">
        <f t="shared" si="14"/>
        <v>26125</v>
      </c>
      <c r="F76" s="34">
        <v>28500</v>
      </c>
      <c r="G76" s="51">
        <v>28500</v>
      </c>
      <c r="H76" s="51">
        <f>D76/12*11</f>
        <v>26125</v>
      </c>
      <c r="I76" s="34">
        <v>28500</v>
      </c>
      <c r="J76" s="28">
        <f t="shared" si="13"/>
        <v>100</v>
      </c>
      <c r="K76" s="28">
        <f t="shared" si="15"/>
        <v>109.09090909090908</v>
      </c>
      <c r="L76" s="28">
        <f t="shared" si="9"/>
        <v>0</v>
      </c>
      <c r="M76" s="28">
        <f t="shared" si="16"/>
        <v>100</v>
      </c>
      <c r="N76" s="28">
        <f t="shared" si="17"/>
        <v>100</v>
      </c>
      <c r="O76" s="22">
        <f>N76-95</f>
        <v>5</v>
      </c>
      <c r="P76" s="22">
        <f>M76-95</f>
        <v>5</v>
      </c>
      <c r="Q76" s="22">
        <f>D76/D74*100</f>
        <v>14.344537675550717</v>
      </c>
      <c r="R76" s="22">
        <f>Q76/100*95</f>
        <v>13.627310791773182</v>
      </c>
      <c r="S76" s="22">
        <f>Q76/100*90</f>
        <v>12.910083907995645</v>
      </c>
    </row>
    <row r="77" spans="1:19" s="16" customFormat="1" ht="25.5">
      <c r="A77" s="104"/>
      <c r="B77" s="104"/>
      <c r="C77" s="6" t="s">
        <v>129</v>
      </c>
      <c r="D77" s="34">
        <v>54364.1</v>
      </c>
      <c r="E77" s="51">
        <f t="shared" si="14"/>
        <v>49833.75833333333</v>
      </c>
      <c r="F77" s="34">
        <v>54364.1</v>
      </c>
      <c r="G77" s="51">
        <v>54364.1</v>
      </c>
      <c r="H77" s="51">
        <f>D77/12*11</f>
        <v>49833.75833333333</v>
      </c>
      <c r="I77" s="34">
        <v>34887.3</v>
      </c>
      <c r="J77" s="28">
        <f t="shared" si="13"/>
        <v>64.17341591233921</v>
      </c>
      <c r="K77" s="28">
        <f t="shared" si="15"/>
        <v>70.00736281346096</v>
      </c>
      <c r="L77" s="28">
        <f t="shared" si="9"/>
        <v>19476.799999999996</v>
      </c>
      <c r="M77" s="28">
        <f t="shared" si="16"/>
        <v>64.17341591233921</v>
      </c>
      <c r="N77" s="28">
        <f t="shared" si="17"/>
        <v>64.17341591233921</v>
      </c>
      <c r="O77" s="22">
        <f>N77-95</f>
        <v>-30.82658408766079</v>
      </c>
      <c r="P77" s="22">
        <f>M77-95</f>
        <v>-30.82658408766079</v>
      </c>
      <c r="Q77" s="22">
        <f>D77/D74*100</f>
        <v>27.36238177710199</v>
      </c>
      <c r="R77" s="22">
        <f>Q77/100*95</f>
        <v>25.99426268824689</v>
      </c>
      <c r="S77" s="22">
        <f>Q77/100*90</f>
        <v>24.626143599391792</v>
      </c>
    </row>
    <row r="78" spans="1:20" s="16" customFormat="1" ht="38.25">
      <c r="A78" s="4" t="s">
        <v>32</v>
      </c>
      <c r="B78" s="5" t="s">
        <v>33</v>
      </c>
      <c r="C78" s="5" t="s">
        <v>86</v>
      </c>
      <c r="D78" s="32">
        <f>D79+D80</f>
        <v>2453824.5</v>
      </c>
      <c r="E78" s="89">
        <f t="shared" si="14"/>
        <v>2249339.125</v>
      </c>
      <c r="F78" s="32">
        <f>F79+F80</f>
        <v>2307982.4</v>
      </c>
      <c r="G78" s="89">
        <f>G79+G80</f>
        <v>2657233.8</v>
      </c>
      <c r="H78" s="89">
        <f>H79+H80</f>
        <v>1993875.7666666666</v>
      </c>
      <c r="I78" s="32">
        <f>I79+I80</f>
        <v>2163382.3</v>
      </c>
      <c r="J78" s="31">
        <f t="shared" si="13"/>
        <v>81.41482695275064</v>
      </c>
      <c r="K78" s="31">
        <f t="shared" si="15"/>
        <v>108.50135881919623</v>
      </c>
      <c r="L78" s="31">
        <f t="shared" si="9"/>
        <v>144600.1000000001</v>
      </c>
      <c r="M78" s="31">
        <f t="shared" si="16"/>
        <v>88.16369304324738</v>
      </c>
      <c r="N78" s="31">
        <f t="shared" si="17"/>
        <v>93.73478324618073</v>
      </c>
      <c r="O78" s="8" t="s">
        <v>124</v>
      </c>
      <c r="P78" s="8" t="s">
        <v>124</v>
      </c>
      <c r="Q78" s="32">
        <f>Q79+Q80</f>
        <v>100</v>
      </c>
      <c r="R78" s="32">
        <f>R79+R80</f>
        <v>98.00319868026423</v>
      </c>
      <c r="S78" s="32">
        <f>S79+S80</f>
        <v>93.00319868026423</v>
      </c>
      <c r="T78" s="72">
        <v>1</v>
      </c>
    </row>
    <row r="79" spans="1:19" s="16" customFormat="1" ht="17.25" customHeight="1">
      <c r="A79" s="104"/>
      <c r="B79" s="104"/>
      <c r="C79" s="6" t="s">
        <v>69</v>
      </c>
      <c r="D79" s="34">
        <v>1473864.5</v>
      </c>
      <c r="E79" s="51">
        <f t="shared" si="14"/>
        <v>1351042.4583333335</v>
      </c>
      <c r="F79" s="34">
        <v>1328022.4</v>
      </c>
      <c r="G79" s="51">
        <v>1480736.8</v>
      </c>
      <c r="H79" s="51">
        <v>1095579.1</v>
      </c>
      <c r="I79" s="34">
        <v>1312715.2</v>
      </c>
      <c r="J79" s="28">
        <f t="shared" si="13"/>
        <v>88.65283823566753</v>
      </c>
      <c r="K79" s="28">
        <f t="shared" si="15"/>
        <v>119.819299218103</v>
      </c>
      <c r="L79" s="28">
        <f t="shared" si="9"/>
        <v>15307.199999999953</v>
      </c>
      <c r="M79" s="28">
        <f t="shared" si="16"/>
        <v>89.0662065610509</v>
      </c>
      <c r="N79" s="28">
        <f t="shared" si="17"/>
        <v>98.84736883956174</v>
      </c>
      <c r="O79" s="22">
        <f>N79-100</f>
        <v>-1.1526311604382613</v>
      </c>
      <c r="P79" s="22">
        <f>M79-95</f>
        <v>-5.933793438949095</v>
      </c>
      <c r="Q79" s="22">
        <f>D79/D78*100</f>
        <v>60.063973605284325</v>
      </c>
      <c r="R79" s="22">
        <f>Q79/100*100</f>
        <v>60.063973605284325</v>
      </c>
      <c r="S79" s="22">
        <f>Q79/100*95</f>
        <v>57.06077492502011</v>
      </c>
    </row>
    <row r="80" spans="1:19" s="16" customFormat="1" ht="25.5">
      <c r="A80" s="104"/>
      <c r="B80" s="104"/>
      <c r="C80" s="6" t="s">
        <v>129</v>
      </c>
      <c r="D80" s="34">
        <v>979960</v>
      </c>
      <c r="E80" s="51">
        <f t="shared" si="14"/>
        <v>898296.6666666666</v>
      </c>
      <c r="F80" s="34">
        <v>979960</v>
      </c>
      <c r="G80" s="51">
        <v>1176497</v>
      </c>
      <c r="H80" s="51">
        <f>D80/12*11</f>
        <v>898296.6666666666</v>
      </c>
      <c r="I80" s="34">
        <v>850667.1</v>
      </c>
      <c r="J80" s="28">
        <f t="shared" si="13"/>
        <v>72.30508025094836</v>
      </c>
      <c r="K80" s="28">
        <f t="shared" si="15"/>
        <v>94.69779100445659</v>
      </c>
      <c r="L80" s="28">
        <f t="shared" si="9"/>
        <v>129292.90000000002</v>
      </c>
      <c r="M80" s="28">
        <f t="shared" si="16"/>
        <v>86.80630842075186</v>
      </c>
      <c r="N80" s="28">
        <f t="shared" si="17"/>
        <v>86.80630842075186</v>
      </c>
      <c r="O80" s="22">
        <f>N80-95</f>
        <v>-8.193691579248139</v>
      </c>
      <c r="P80" s="22">
        <f>M80-95</f>
        <v>-8.193691579248139</v>
      </c>
      <c r="Q80" s="22">
        <f>D80/D78*100</f>
        <v>39.93602639471568</v>
      </c>
      <c r="R80" s="22">
        <f>Q80/100*95</f>
        <v>37.9392250749799</v>
      </c>
      <c r="S80" s="22">
        <f>Q80/100*90</f>
        <v>35.942423755244114</v>
      </c>
    </row>
    <row r="81" spans="1:20" s="16" customFormat="1" ht="26.25" customHeight="1">
      <c r="A81" s="4" t="s">
        <v>34</v>
      </c>
      <c r="B81" s="5" t="s">
        <v>139</v>
      </c>
      <c r="C81" s="5" t="s">
        <v>87</v>
      </c>
      <c r="D81" s="32">
        <f>D82+D83</f>
        <v>876913.2</v>
      </c>
      <c r="E81" s="89">
        <f t="shared" si="14"/>
        <v>803837.0999999999</v>
      </c>
      <c r="F81" s="32">
        <f>F82+F83</f>
        <v>748301.8999999999</v>
      </c>
      <c r="G81" s="89">
        <f>G82+G83</f>
        <v>902518.7</v>
      </c>
      <c r="H81" s="89">
        <f>H82+H83</f>
        <v>607174.4666666667</v>
      </c>
      <c r="I81" s="32">
        <f>I82+I83</f>
        <v>648430.9</v>
      </c>
      <c r="J81" s="31">
        <f t="shared" si="13"/>
        <v>71.84681048714006</v>
      </c>
      <c r="K81" s="31">
        <f t="shared" si="15"/>
        <v>106.79482349773821</v>
      </c>
      <c r="L81" s="31">
        <f t="shared" si="9"/>
        <v>99870.99999999988</v>
      </c>
      <c r="M81" s="31">
        <f t="shared" si="16"/>
        <v>73.94470741231858</v>
      </c>
      <c r="N81" s="31">
        <f t="shared" si="17"/>
        <v>86.65364874791847</v>
      </c>
      <c r="O81" s="8" t="s">
        <v>124</v>
      </c>
      <c r="P81" s="8" t="s">
        <v>124</v>
      </c>
      <c r="Q81" s="32">
        <f>Q82+Q83</f>
        <v>100</v>
      </c>
      <c r="R81" s="32">
        <f>R82+R83</f>
        <v>99.81324719481928</v>
      </c>
      <c r="S81" s="32">
        <f>S82+S83</f>
        <v>94.81324719481928</v>
      </c>
      <c r="T81" s="72">
        <v>1</v>
      </c>
    </row>
    <row r="82" spans="1:19" s="16" customFormat="1" ht="17.25" customHeight="1">
      <c r="A82" s="104"/>
      <c r="B82" s="104"/>
      <c r="C82" s="6" t="s">
        <v>69</v>
      </c>
      <c r="D82" s="34">
        <v>844160</v>
      </c>
      <c r="E82" s="51">
        <f t="shared" si="14"/>
        <v>773813.3333333334</v>
      </c>
      <c r="F82" s="34">
        <v>715548.7</v>
      </c>
      <c r="G82" s="51">
        <v>869765.5</v>
      </c>
      <c r="H82" s="51">
        <v>577150.7</v>
      </c>
      <c r="I82" s="34">
        <v>648405.8</v>
      </c>
      <c r="J82" s="28">
        <f t="shared" si="13"/>
        <v>74.54949638724462</v>
      </c>
      <c r="K82" s="28">
        <f t="shared" si="15"/>
        <v>112.34601292175512</v>
      </c>
      <c r="L82" s="28">
        <f t="shared" si="9"/>
        <v>67142.8999999999</v>
      </c>
      <c r="M82" s="28">
        <f t="shared" si="16"/>
        <v>76.81077047005309</v>
      </c>
      <c r="N82" s="28">
        <f t="shared" si="17"/>
        <v>90.6165855657344</v>
      </c>
      <c r="O82" s="22">
        <f>N82-100</f>
        <v>-9.383414434265603</v>
      </c>
      <c r="P82" s="22">
        <f>M82-95</f>
        <v>-18.189229529946914</v>
      </c>
      <c r="Q82" s="22">
        <f>D82/D81*100</f>
        <v>96.26494389638565</v>
      </c>
      <c r="R82" s="22">
        <f>Q82/100*100</f>
        <v>96.26494389638565</v>
      </c>
      <c r="S82" s="22">
        <f>Q82/100*95</f>
        <v>91.45169670156636</v>
      </c>
    </row>
    <row r="83" spans="1:19" s="16" customFormat="1" ht="16.5" customHeight="1">
      <c r="A83" s="104"/>
      <c r="B83" s="104"/>
      <c r="C83" s="6" t="s">
        <v>70</v>
      </c>
      <c r="D83" s="34">
        <v>32753.2</v>
      </c>
      <c r="E83" s="51">
        <f t="shared" si="14"/>
        <v>30023.766666666666</v>
      </c>
      <c r="F83" s="34">
        <v>32753.2</v>
      </c>
      <c r="G83" s="51">
        <v>32753.2</v>
      </c>
      <c r="H83" s="51">
        <f>D83/12*11</f>
        <v>30023.766666666666</v>
      </c>
      <c r="I83" s="34">
        <v>25.1</v>
      </c>
      <c r="J83" s="28">
        <f t="shared" si="13"/>
        <v>0.07663373349779563</v>
      </c>
      <c r="K83" s="28">
        <f t="shared" si="15"/>
        <v>0.0836004365430498</v>
      </c>
      <c r="L83" s="28">
        <f t="shared" si="9"/>
        <v>32728.100000000002</v>
      </c>
      <c r="M83" s="28">
        <f t="shared" si="16"/>
        <v>0.07663373349779563</v>
      </c>
      <c r="N83" s="28">
        <f t="shared" si="17"/>
        <v>0.07663373349779563</v>
      </c>
      <c r="O83" s="22">
        <f>N83-95</f>
        <v>-94.9233662665022</v>
      </c>
      <c r="P83" s="22">
        <f>M83-95</f>
        <v>-94.9233662665022</v>
      </c>
      <c r="Q83" s="22">
        <f>D83/D81*100</f>
        <v>3.735056103614361</v>
      </c>
      <c r="R83" s="22">
        <f>Q83/100*95</f>
        <v>3.5483032984336424</v>
      </c>
      <c r="S83" s="22">
        <f>Q83/100*90</f>
        <v>3.3615504932529245</v>
      </c>
    </row>
    <row r="84" spans="1:20" s="16" customFormat="1" ht="51">
      <c r="A84" s="4" t="s">
        <v>35</v>
      </c>
      <c r="B84" s="5" t="s">
        <v>125</v>
      </c>
      <c r="C84" s="5" t="s">
        <v>88</v>
      </c>
      <c r="D84" s="32">
        <f>D85</f>
        <v>22699.7</v>
      </c>
      <c r="E84" s="89">
        <f t="shared" si="14"/>
        <v>20808.058333333334</v>
      </c>
      <c r="F84" s="32">
        <f>F85</f>
        <v>18204.2</v>
      </c>
      <c r="G84" s="89">
        <f>G85</f>
        <v>22688</v>
      </c>
      <c r="H84" s="89">
        <f>H85</f>
        <v>12739.7</v>
      </c>
      <c r="I84" s="32">
        <f>I85</f>
        <v>15020.6</v>
      </c>
      <c r="J84" s="31">
        <f t="shared" si="13"/>
        <v>66.20504231311706</v>
      </c>
      <c r="K84" s="31">
        <f t="shared" si="15"/>
        <v>117.90387528748714</v>
      </c>
      <c r="L84" s="31">
        <f t="shared" si="9"/>
        <v>3183.6000000000004</v>
      </c>
      <c r="M84" s="31">
        <f t="shared" si="16"/>
        <v>66.17091855839504</v>
      </c>
      <c r="N84" s="31">
        <f t="shared" si="17"/>
        <v>82.51172806275476</v>
      </c>
      <c r="O84" s="8" t="s">
        <v>124</v>
      </c>
      <c r="P84" s="8" t="s">
        <v>124</v>
      </c>
      <c r="Q84" s="32">
        <f>Q85</f>
        <v>100</v>
      </c>
      <c r="R84" s="32">
        <f>R85</f>
        <v>100</v>
      </c>
      <c r="S84" s="32">
        <f>S85</f>
        <v>95</v>
      </c>
      <c r="T84" s="72">
        <v>1</v>
      </c>
    </row>
    <row r="85" spans="1:19" s="16" customFormat="1" ht="17.25" customHeight="1">
      <c r="A85" s="104"/>
      <c r="B85" s="104"/>
      <c r="C85" s="6" t="s">
        <v>69</v>
      </c>
      <c r="D85" s="34">
        <v>22699.7</v>
      </c>
      <c r="E85" s="51">
        <f t="shared" si="14"/>
        <v>20808.058333333334</v>
      </c>
      <c r="F85" s="34">
        <v>18204.2</v>
      </c>
      <c r="G85" s="51">
        <v>22688</v>
      </c>
      <c r="H85" s="51">
        <v>12739.7</v>
      </c>
      <c r="I85" s="34">
        <v>15020.6</v>
      </c>
      <c r="J85" s="28">
        <f t="shared" si="13"/>
        <v>66.20504231311706</v>
      </c>
      <c r="K85" s="28">
        <f t="shared" si="15"/>
        <v>117.90387528748714</v>
      </c>
      <c r="L85" s="28">
        <f aca="true" t="shared" si="18" ref="L85:L130">F85-I85</f>
        <v>3183.6000000000004</v>
      </c>
      <c r="M85" s="28">
        <f t="shared" si="16"/>
        <v>66.17091855839504</v>
      </c>
      <c r="N85" s="28">
        <f t="shared" si="17"/>
        <v>82.51172806275476</v>
      </c>
      <c r="O85" s="22">
        <f>N85-100</f>
        <v>-17.488271937245244</v>
      </c>
      <c r="P85" s="22">
        <f>M85-95</f>
        <v>-28.829081441604956</v>
      </c>
      <c r="Q85" s="22">
        <f>D85/D84*100</f>
        <v>100</v>
      </c>
      <c r="R85" s="22">
        <f>Q85/100*100</f>
        <v>100</v>
      </c>
      <c r="S85" s="22">
        <f>Q85/100*95</f>
        <v>95</v>
      </c>
    </row>
    <row r="86" spans="1:20" s="16" customFormat="1" ht="38.25">
      <c r="A86" s="4" t="s">
        <v>36</v>
      </c>
      <c r="B86" s="5" t="s">
        <v>37</v>
      </c>
      <c r="C86" s="5" t="s">
        <v>89</v>
      </c>
      <c r="D86" s="32">
        <f>D87</f>
        <v>162915.2</v>
      </c>
      <c r="E86" s="89">
        <f t="shared" si="14"/>
        <v>149338.93333333335</v>
      </c>
      <c r="F86" s="32">
        <f>F87</f>
        <v>160988.2</v>
      </c>
      <c r="G86" s="89">
        <f>G87</f>
        <v>172672.7</v>
      </c>
      <c r="H86" s="89">
        <f>H87</f>
        <v>142358.6</v>
      </c>
      <c r="I86" s="32">
        <f>I87</f>
        <v>157293.9</v>
      </c>
      <c r="J86" s="31">
        <f t="shared" si="13"/>
        <v>91.09367027908868</v>
      </c>
      <c r="K86" s="31">
        <f t="shared" si="15"/>
        <v>110.49132261767114</v>
      </c>
      <c r="L86" s="31">
        <f t="shared" si="18"/>
        <v>3694.3000000000175</v>
      </c>
      <c r="M86" s="31">
        <f t="shared" si="16"/>
        <v>96.54955461491622</v>
      </c>
      <c r="N86" s="31">
        <f t="shared" si="17"/>
        <v>97.70523553900222</v>
      </c>
      <c r="O86" s="8" t="s">
        <v>124</v>
      </c>
      <c r="P86" s="8" t="s">
        <v>124</v>
      </c>
      <c r="Q86" s="32">
        <f>Q87</f>
        <v>100</v>
      </c>
      <c r="R86" s="32">
        <f>R87</f>
        <v>100</v>
      </c>
      <c r="S86" s="32">
        <f>S87</f>
        <v>95</v>
      </c>
      <c r="T86" s="72">
        <v>2</v>
      </c>
    </row>
    <row r="87" spans="1:19" s="16" customFormat="1" ht="18" customHeight="1">
      <c r="A87" s="104"/>
      <c r="B87" s="104"/>
      <c r="C87" s="6" t="s">
        <v>69</v>
      </c>
      <c r="D87" s="34">
        <v>162915.2</v>
      </c>
      <c r="E87" s="51">
        <f t="shared" si="14"/>
        <v>149338.93333333335</v>
      </c>
      <c r="F87" s="34">
        <v>160988.2</v>
      </c>
      <c r="G87" s="51">
        <v>172672.7</v>
      </c>
      <c r="H87" s="51">
        <v>142358.6</v>
      </c>
      <c r="I87" s="34">
        <v>157293.9</v>
      </c>
      <c r="J87" s="28">
        <f t="shared" si="13"/>
        <v>91.09367027908868</v>
      </c>
      <c r="K87" s="28">
        <f t="shared" si="15"/>
        <v>110.49132261767114</v>
      </c>
      <c r="L87" s="28">
        <f t="shared" si="18"/>
        <v>3694.3000000000175</v>
      </c>
      <c r="M87" s="28">
        <f t="shared" si="16"/>
        <v>96.54955461491622</v>
      </c>
      <c r="N87" s="28">
        <f t="shared" si="17"/>
        <v>97.70523553900222</v>
      </c>
      <c r="O87" s="22">
        <f>N87-100</f>
        <v>-2.294764460997783</v>
      </c>
      <c r="P87" s="22">
        <f>M87-95</f>
        <v>1.549554614916218</v>
      </c>
      <c r="Q87" s="22">
        <f>D87/D86*100</f>
        <v>100</v>
      </c>
      <c r="R87" s="22">
        <f>Q87/100*100</f>
        <v>100</v>
      </c>
      <c r="S87" s="22">
        <f>Q87/100*95</f>
        <v>95</v>
      </c>
    </row>
    <row r="88" spans="1:20" s="16" customFormat="1" ht="39" customHeight="1">
      <c r="A88" s="4" t="s">
        <v>38</v>
      </c>
      <c r="B88" s="5" t="s">
        <v>39</v>
      </c>
      <c r="C88" s="5" t="s">
        <v>90</v>
      </c>
      <c r="D88" s="32">
        <f>D89+D91+D90</f>
        <v>127306.1</v>
      </c>
      <c r="E88" s="89">
        <f t="shared" si="14"/>
        <v>116697.25833333333</v>
      </c>
      <c r="F88" s="32">
        <f>F89+F91+F90</f>
        <v>123118.40000000001</v>
      </c>
      <c r="G88" s="89">
        <f>G89+G91+G90</f>
        <v>129575.20000000001</v>
      </c>
      <c r="H88" s="89">
        <f>H89+H91+H90</f>
        <v>97207.94999999998</v>
      </c>
      <c r="I88" s="32">
        <f>I89+I91+I90</f>
        <v>122674.8</v>
      </c>
      <c r="J88" s="31">
        <f t="shared" si="13"/>
        <v>94.67459822558637</v>
      </c>
      <c r="K88" s="31">
        <f t="shared" si="15"/>
        <v>126.19832019911954</v>
      </c>
      <c r="L88" s="31">
        <f t="shared" si="18"/>
        <v>443.6000000000058</v>
      </c>
      <c r="M88" s="31">
        <f t="shared" si="16"/>
        <v>96.36207534438648</v>
      </c>
      <c r="N88" s="31">
        <f t="shared" si="17"/>
        <v>99.63969642230568</v>
      </c>
      <c r="O88" s="8" t="s">
        <v>124</v>
      </c>
      <c r="P88" s="8" t="s">
        <v>124</v>
      </c>
      <c r="Q88" s="32">
        <f>Q89+Q91+Q90</f>
        <v>100</v>
      </c>
      <c r="R88" s="32">
        <f>R89+R91+R90</f>
        <v>99.95190332592075</v>
      </c>
      <c r="S88" s="32">
        <f>S89+S91+S90</f>
        <v>94.95190332592075</v>
      </c>
      <c r="T88" s="72">
        <v>3</v>
      </c>
    </row>
    <row r="89" spans="1:19" s="16" customFormat="1" ht="16.5" customHeight="1">
      <c r="A89" s="104"/>
      <c r="B89" s="104"/>
      <c r="C89" s="6" t="s">
        <v>69</v>
      </c>
      <c r="D89" s="34">
        <v>126081.5</v>
      </c>
      <c r="E89" s="51">
        <f t="shared" si="14"/>
        <v>115574.70833333333</v>
      </c>
      <c r="F89" s="34">
        <v>121893.8</v>
      </c>
      <c r="G89" s="51">
        <v>128550.6</v>
      </c>
      <c r="H89" s="51">
        <v>96085.4</v>
      </c>
      <c r="I89" s="34">
        <v>121478.7</v>
      </c>
      <c r="J89" s="28">
        <f t="shared" si="13"/>
        <v>94.49874212955831</v>
      </c>
      <c r="K89" s="28">
        <f t="shared" si="15"/>
        <v>126.42784439675539</v>
      </c>
      <c r="L89" s="28">
        <f t="shared" si="18"/>
        <v>415.1000000000058</v>
      </c>
      <c r="M89" s="28">
        <f t="shared" si="16"/>
        <v>96.34934546305367</v>
      </c>
      <c r="N89" s="28">
        <f t="shared" si="17"/>
        <v>99.65945765904418</v>
      </c>
      <c r="O89" s="22">
        <f>N89-100</f>
        <v>-0.34054234095582103</v>
      </c>
      <c r="P89" s="22">
        <f>M89-95</f>
        <v>1.349345463053666</v>
      </c>
      <c r="Q89" s="22">
        <f>D89/D88*100</f>
        <v>99.03806651841506</v>
      </c>
      <c r="R89" s="22">
        <f>Q89/100*100</f>
        <v>99.03806651841506</v>
      </c>
      <c r="S89" s="22">
        <f>Q89/100*95</f>
        <v>94.08616319249431</v>
      </c>
    </row>
    <row r="90" spans="1:19" s="16" customFormat="1" ht="16.5" customHeight="1">
      <c r="A90" s="104"/>
      <c r="B90" s="104"/>
      <c r="C90" s="6" t="s">
        <v>70</v>
      </c>
      <c r="D90" s="34">
        <v>480.3</v>
      </c>
      <c r="E90" s="51">
        <f t="shared" si="14"/>
        <v>440.275</v>
      </c>
      <c r="F90" s="34">
        <v>480.3</v>
      </c>
      <c r="G90" s="51">
        <v>480.3</v>
      </c>
      <c r="H90" s="51">
        <f>D90/12*11</f>
        <v>440.275</v>
      </c>
      <c r="I90" s="34">
        <v>477.5</v>
      </c>
      <c r="J90" s="28">
        <f>I90/G90*100</f>
        <v>99.41703102227774</v>
      </c>
      <c r="K90" s="28">
        <f t="shared" si="15"/>
        <v>108.45494293339391</v>
      </c>
      <c r="L90" s="28">
        <f t="shared" si="18"/>
        <v>2.8000000000000114</v>
      </c>
      <c r="M90" s="28">
        <f t="shared" si="16"/>
        <v>99.41703102227774</v>
      </c>
      <c r="N90" s="28">
        <f t="shared" si="17"/>
        <v>99.41703102227774</v>
      </c>
      <c r="O90" s="22">
        <f>N90-95</f>
        <v>4.41703102227774</v>
      </c>
      <c r="P90" s="22">
        <f>M90-95</f>
        <v>4.41703102227774</v>
      </c>
      <c r="Q90" s="22">
        <f>D90/D88*100</f>
        <v>0.3772796433163847</v>
      </c>
      <c r="R90" s="22">
        <f>Q90/100*95</f>
        <v>0.35841566115056545</v>
      </c>
      <c r="S90" s="22">
        <f>Q90/100*90</f>
        <v>0.33955167898474625</v>
      </c>
    </row>
    <row r="91" spans="1:19" s="16" customFormat="1" ht="28.5" customHeight="1">
      <c r="A91" s="104"/>
      <c r="B91" s="104"/>
      <c r="C91" s="6" t="s">
        <v>71</v>
      </c>
      <c r="D91" s="34">
        <v>744.3</v>
      </c>
      <c r="E91" s="34">
        <v>744.3</v>
      </c>
      <c r="F91" s="34">
        <v>744.3</v>
      </c>
      <c r="G91" s="51">
        <v>544.3</v>
      </c>
      <c r="H91" s="51">
        <f>D91/12*11</f>
        <v>682.275</v>
      </c>
      <c r="I91" s="34">
        <v>718.6</v>
      </c>
      <c r="J91" s="28">
        <f>SUM(I91/G91)*100</f>
        <v>132.02278155428994</v>
      </c>
      <c r="K91" s="28">
        <f t="shared" si="15"/>
        <v>105.3240995199883</v>
      </c>
      <c r="L91" s="28">
        <f t="shared" si="18"/>
        <v>25.699999999999932</v>
      </c>
      <c r="M91" s="28">
        <f t="shared" si="16"/>
        <v>96.54709122665592</v>
      </c>
      <c r="N91" s="28">
        <f t="shared" si="17"/>
        <v>96.54709122665592</v>
      </c>
      <c r="O91" s="22">
        <f>N91-95</f>
        <v>1.5470912266559225</v>
      </c>
      <c r="P91" s="22">
        <f>M91-95</f>
        <v>1.5470912266559225</v>
      </c>
      <c r="Q91" s="22">
        <f>D91/D88*100</f>
        <v>0.5846538382685511</v>
      </c>
      <c r="R91" s="22">
        <f>Q91/100*95</f>
        <v>0.5554211463551235</v>
      </c>
      <c r="S91" s="22">
        <f>Q91/100*90</f>
        <v>0.526188454441696</v>
      </c>
    </row>
    <row r="92" spans="1:20" s="16" customFormat="1" ht="41.25" customHeight="1">
      <c r="A92" s="4" t="s">
        <v>40</v>
      </c>
      <c r="B92" s="5" t="s">
        <v>41</v>
      </c>
      <c r="C92" s="5" t="s">
        <v>91</v>
      </c>
      <c r="D92" s="32">
        <f>D93+D94</f>
        <v>31695.100000000002</v>
      </c>
      <c r="E92" s="89">
        <f t="shared" si="14"/>
        <v>29053.84166666667</v>
      </c>
      <c r="F92" s="32">
        <f>F93+F94</f>
        <v>24256</v>
      </c>
      <c r="G92" s="89">
        <f>G93+G94</f>
        <v>49706.8</v>
      </c>
      <c r="H92" s="89">
        <f>H93+H94</f>
        <v>32660.05</v>
      </c>
      <c r="I92" s="32">
        <f>I93+I94</f>
        <v>18183.399999999998</v>
      </c>
      <c r="J92" s="31">
        <f>SUM(I92/G92)*100</f>
        <v>36.5813128183669</v>
      </c>
      <c r="K92" s="31">
        <f t="shared" si="15"/>
        <v>55.674746364442186</v>
      </c>
      <c r="L92" s="31">
        <f t="shared" si="18"/>
        <v>6072.600000000002</v>
      </c>
      <c r="M92" s="31">
        <f t="shared" si="16"/>
        <v>57.36975116027397</v>
      </c>
      <c r="N92" s="31">
        <f t="shared" si="17"/>
        <v>74.96454485488125</v>
      </c>
      <c r="O92" s="8" t="s">
        <v>124</v>
      </c>
      <c r="P92" s="8" t="s">
        <v>124</v>
      </c>
      <c r="Q92" s="32">
        <f>Q93+Q94</f>
        <v>99.99999999999999</v>
      </c>
      <c r="R92" s="32">
        <f>R93+R94</f>
        <v>99.95655479869127</v>
      </c>
      <c r="S92" s="32">
        <f>S93+S94</f>
        <v>94.95655479869126</v>
      </c>
      <c r="T92" s="72">
        <v>1</v>
      </c>
    </row>
    <row r="93" spans="1:19" s="16" customFormat="1" ht="16.5" customHeight="1">
      <c r="A93" s="104"/>
      <c r="B93" s="104"/>
      <c r="C93" s="6" t="s">
        <v>69</v>
      </c>
      <c r="D93" s="34">
        <v>31419.7</v>
      </c>
      <c r="E93" s="51">
        <f t="shared" si="14"/>
        <v>28801.391666666666</v>
      </c>
      <c r="F93" s="34">
        <v>23980.6</v>
      </c>
      <c r="G93" s="51">
        <v>49431.4</v>
      </c>
      <c r="H93" s="51">
        <v>32407.6</v>
      </c>
      <c r="I93" s="34">
        <v>17911.3</v>
      </c>
      <c r="J93" s="28">
        <f>SUM(I93/G93)*100</f>
        <v>36.23466055988703</v>
      </c>
      <c r="K93" s="28">
        <f t="shared" si="15"/>
        <v>55.26882583097792</v>
      </c>
      <c r="L93" s="28">
        <f t="shared" si="18"/>
        <v>6069.299999999999</v>
      </c>
      <c r="M93" s="28">
        <f t="shared" si="16"/>
        <v>57.0065914060287</v>
      </c>
      <c r="N93" s="28">
        <f t="shared" si="17"/>
        <v>74.69079172330967</v>
      </c>
      <c r="O93" s="22">
        <f>N93-100</f>
        <v>-25.309208276690327</v>
      </c>
      <c r="P93" s="22">
        <f>M93-95</f>
        <v>-37.9934085939713</v>
      </c>
      <c r="Q93" s="22">
        <f>D93/D92*100</f>
        <v>99.1310959738256</v>
      </c>
      <c r="R93" s="22">
        <f>Q93/100*100</f>
        <v>99.1310959738256</v>
      </c>
      <c r="S93" s="22">
        <f>Q93/100*95</f>
        <v>94.17454117513431</v>
      </c>
    </row>
    <row r="94" spans="1:19" s="16" customFormat="1" ht="16.5" customHeight="1">
      <c r="A94" s="104"/>
      <c r="B94" s="104"/>
      <c r="C94" s="6" t="s">
        <v>70</v>
      </c>
      <c r="D94" s="34">
        <v>275.4</v>
      </c>
      <c r="E94" s="51">
        <f t="shared" si="14"/>
        <v>252.45</v>
      </c>
      <c r="F94" s="34">
        <v>275.4</v>
      </c>
      <c r="G94" s="51">
        <v>275.4</v>
      </c>
      <c r="H94" s="51">
        <f>D94/12*11</f>
        <v>252.45</v>
      </c>
      <c r="I94" s="34">
        <v>272.1</v>
      </c>
      <c r="J94" s="28">
        <f>SUM(I94/G94)*100</f>
        <v>98.80174291939</v>
      </c>
      <c r="K94" s="28">
        <f t="shared" si="15"/>
        <v>107.78371954842545</v>
      </c>
      <c r="L94" s="28">
        <f t="shared" si="18"/>
        <v>3.2999999999999545</v>
      </c>
      <c r="M94" s="28">
        <f t="shared" si="16"/>
        <v>98.80174291939</v>
      </c>
      <c r="N94" s="28">
        <f t="shared" si="17"/>
        <v>98.80174291939</v>
      </c>
      <c r="O94" s="22">
        <f>N94-95</f>
        <v>3.8017429193899943</v>
      </c>
      <c r="P94" s="22">
        <f>M94-95</f>
        <v>3.8017429193899943</v>
      </c>
      <c r="Q94" s="22">
        <f>D94/D92*100</f>
        <v>0.8689040261743928</v>
      </c>
      <c r="R94" s="22">
        <f>Q94/100*95</f>
        <v>0.8254588248656731</v>
      </c>
      <c r="S94" s="22">
        <f>Q94/100*90</f>
        <v>0.7820136235569535</v>
      </c>
    </row>
    <row r="95" spans="1:20" s="16" customFormat="1" ht="26.25" customHeight="1">
      <c r="A95" s="4" t="s">
        <v>55</v>
      </c>
      <c r="B95" s="5" t="s">
        <v>56</v>
      </c>
      <c r="C95" s="5" t="s">
        <v>105</v>
      </c>
      <c r="D95" s="32">
        <f>D96</f>
        <v>1019.3</v>
      </c>
      <c r="E95" s="89">
        <f t="shared" si="14"/>
        <v>934.3583333333333</v>
      </c>
      <c r="F95" s="32">
        <f>F96</f>
        <v>1019.3</v>
      </c>
      <c r="G95" s="89">
        <f>G96</f>
        <v>1019.3</v>
      </c>
      <c r="H95" s="89">
        <f>H96</f>
        <v>934.3583333333333</v>
      </c>
      <c r="I95" s="32">
        <f>I96</f>
        <v>1013.7</v>
      </c>
      <c r="J95" s="31">
        <f>SUM(I95/G95)*100</f>
        <v>99.4506033552438</v>
      </c>
      <c r="K95" s="31">
        <f t="shared" si="15"/>
        <v>108.49156729662958</v>
      </c>
      <c r="L95" s="31">
        <f t="shared" si="18"/>
        <v>5.599999999999909</v>
      </c>
      <c r="M95" s="31">
        <f t="shared" si="16"/>
        <v>99.4506033552438</v>
      </c>
      <c r="N95" s="31">
        <f t="shared" si="17"/>
        <v>99.4506033552438</v>
      </c>
      <c r="O95" s="8" t="s">
        <v>124</v>
      </c>
      <c r="P95" s="8" t="s">
        <v>124</v>
      </c>
      <c r="Q95" s="32">
        <f>Q96</f>
        <v>100</v>
      </c>
      <c r="R95" s="32">
        <f>R96</f>
        <v>95</v>
      </c>
      <c r="S95" s="32">
        <f>S96</f>
        <v>90</v>
      </c>
      <c r="T95" s="72">
        <v>2</v>
      </c>
    </row>
    <row r="96" spans="1:19" s="16" customFormat="1" ht="16.5" customHeight="1">
      <c r="A96" s="114"/>
      <c r="B96" s="114"/>
      <c r="C96" s="6" t="s">
        <v>70</v>
      </c>
      <c r="D96" s="34">
        <v>1019.3</v>
      </c>
      <c r="E96" s="51">
        <f t="shared" si="14"/>
        <v>934.3583333333333</v>
      </c>
      <c r="F96" s="34">
        <v>1019.3</v>
      </c>
      <c r="G96" s="51">
        <v>1019.3</v>
      </c>
      <c r="H96" s="51">
        <f>D96/12*11</f>
        <v>934.3583333333333</v>
      </c>
      <c r="I96" s="34">
        <v>1013.7</v>
      </c>
      <c r="J96" s="28">
        <f>I96/G96*100</f>
        <v>99.4506033552438</v>
      </c>
      <c r="K96" s="28">
        <f t="shared" si="15"/>
        <v>108.49156729662958</v>
      </c>
      <c r="L96" s="28">
        <f t="shared" si="18"/>
        <v>5.599999999999909</v>
      </c>
      <c r="M96" s="28">
        <f t="shared" si="16"/>
        <v>99.4506033552438</v>
      </c>
      <c r="N96" s="28">
        <f t="shared" si="17"/>
        <v>99.4506033552438</v>
      </c>
      <c r="O96" s="22">
        <f>N96-95</f>
        <v>4.4506033552438</v>
      </c>
      <c r="P96" s="22">
        <f>M96-95</f>
        <v>4.4506033552438</v>
      </c>
      <c r="Q96" s="22">
        <f>D96/D95*100</f>
        <v>100</v>
      </c>
      <c r="R96" s="22">
        <f>Q96/100*95</f>
        <v>95</v>
      </c>
      <c r="S96" s="22">
        <f>Q96/100*90</f>
        <v>90</v>
      </c>
    </row>
    <row r="97" spans="1:20" s="16" customFormat="1" ht="27" customHeight="1">
      <c r="A97" s="4" t="s">
        <v>57</v>
      </c>
      <c r="B97" s="5" t="s">
        <v>58</v>
      </c>
      <c r="C97" s="5" t="s">
        <v>104</v>
      </c>
      <c r="D97" s="32">
        <f>D98</f>
        <v>1018.7</v>
      </c>
      <c r="E97" s="89">
        <f t="shared" si="14"/>
        <v>933.8083333333333</v>
      </c>
      <c r="F97" s="32">
        <f>F98</f>
        <v>1018.7</v>
      </c>
      <c r="G97" s="89">
        <f>G98</f>
        <v>1018.7</v>
      </c>
      <c r="H97" s="89">
        <f>H98</f>
        <v>933.8083333333333</v>
      </c>
      <c r="I97" s="32">
        <f>I98</f>
        <v>1018.6</v>
      </c>
      <c r="J97" s="31">
        <f>SUM(I97/G97)*100</f>
        <v>99.99018356729165</v>
      </c>
      <c r="K97" s="31">
        <f t="shared" si="15"/>
        <v>109.08020025522727</v>
      </c>
      <c r="L97" s="31">
        <f t="shared" si="18"/>
        <v>0.10000000000002274</v>
      </c>
      <c r="M97" s="31">
        <f t="shared" si="16"/>
        <v>99.99018356729165</v>
      </c>
      <c r="N97" s="31">
        <f t="shared" si="17"/>
        <v>99.99018356729165</v>
      </c>
      <c r="O97" s="8" t="s">
        <v>124</v>
      </c>
      <c r="P97" s="8" t="s">
        <v>124</v>
      </c>
      <c r="Q97" s="32">
        <f>Q98</f>
        <v>100</v>
      </c>
      <c r="R97" s="32">
        <f>R98</f>
        <v>95</v>
      </c>
      <c r="S97" s="32">
        <f>S98</f>
        <v>90</v>
      </c>
      <c r="T97" s="72">
        <v>3</v>
      </c>
    </row>
    <row r="98" spans="1:19" s="16" customFormat="1" ht="16.5" customHeight="1">
      <c r="A98" s="104"/>
      <c r="B98" s="104"/>
      <c r="C98" s="6" t="s">
        <v>70</v>
      </c>
      <c r="D98" s="34">
        <v>1018.7</v>
      </c>
      <c r="E98" s="51">
        <f t="shared" si="14"/>
        <v>933.8083333333333</v>
      </c>
      <c r="F98" s="34">
        <v>1018.7</v>
      </c>
      <c r="G98" s="51">
        <v>1018.7</v>
      </c>
      <c r="H98" s="51">
        <f>D98/12*11</f>
        <v>933.8083333333333</v>
      </c>
      <c r="I98" s="34">
        <v>1018.6</v>
      </c>
      <c r="J98" s="28">
        <f>I98/G98*100</f>
        <v>99.99018356729165</v>
      </c>
      <c r="K98" s="28">
        <f t="shared" si="15"/>
        <v>109.08020025522727</v>
      </c>
      <c r="L98" s="28">
        <f t="shared" si="18"/>
        <v>0.10000000000002274</v>
      </c>
      <c r="M98" s="28">
        <f t="shared" si="16"/>
        <v>99.99018356729165</v>
      </c>
      <c r="N98" s="28">
        <f t="shared" si="17"/>
        <v>99.99018356729165</v>
      </c>
      <c r="O98" s="22">
        <f>N98-95</f>
        <v>4.990183567291652</v>
      </c>
      <c r="P98" s="22">
        <f>M98-95</f>
        <v>4.990183567291652</v>
      </c>
      <c r="Q98" s="22">
        <f>D98/D97*100</f>
        <v>100</v>
      </c>
      <c r="R98" s="22">
        <f>Q98/100*95</f>
        <v>95</v>
      </c>
      <c r="S98" s="22">
        <f>Q98/100*90</f>
        <v>90</v>
      </c>
    </row>
    <row r="99" spans="1:20" s="16" customFormat="1" ht="38.25">
      <c r="A99" s="4" t="s">
        <v>59</v>
      </c>
      <c r="B99" s="5" t="s">
        <v>60</v>
      </c>
      <c r="C99" s="5" t="s">
        <v>103</v>
      </c>
      <c r="D99" s="32">
        <f>D100</f>
        <v>1018.7</v>
      </c>
      <c r="E99" s="89">
        <f t="shared" si="14"/>
        <v>933.8083333333333</v>
      </c>
      <c r="F99" s="32">
        <f>F100</f>
        <v>1018.7</v>
      </c>
      <c r="G99" s="89">
        <f>G100</f>
        <v>1018.7</v>
      </c>
      <c r="H99" s="89">
        <f>H100</f>
        <v>933.8083333333333</v>
      </c>
      <c r="I99" s="32">
        <f>I100</f>
        <v>1018.7</v>
      </c>
      <c r="J99" s="31">
        <f aca="true" t="shared" si="19" ref="J99:J125">SUM(I99/G99)*100</f>
        <v>100</v>
      </c>
      <c r="K99" s="31">
        <f t="shared" si="15"/>
        <v>109.09090909090911</v>
      </c>
      <c r="L99" s="31">
        <f t="shared" si="18"/>
        <v>0</v>
      </c>
      <c r="M99" s="31">
        <f t="shared" si="16"/>
        <v>100</v>
      </c>
      <c r="N99" s="31">
        <f t="shared" si="17"/>
        <v>100</v>
      </c>
      <c r="O99" s="8" t="s">
        <v>124</v>
      </c>
      <c r="P99" s="8" t="s">
        <v>124</v>
      </c>
      <c r="Q99" s="32">
        <f>Q100</f>
        <v>100</v>
      </c>
      <c r="R99" s="32">
        <f>R100</f>
        <v>95</v>
      </c>
      <c r="S99" s="32">
        <f>S100</f>
        <v>90</v>
      </c>
      <c r="T99" s="72">
        <v>1</v>
      </c>
    </row>
    <row r="100" spans="1:19" s="16" customFormat="1" ht="16.5" customHeight="1">
      <c r="A100" s="104"/>
      <c r="B100" s="104"/>
      <c r="C100" s="6" t="s">
        <v>70</v>
      </c>
      <c r="D100" s="34">
        <v>1018.7</v>
      </c>
      <c r="E100" s="51">
        <f t="shared" si="14"/>
        <v>933.8083333333333</v>
      </c>
      <c r="F100" s="34">
        <v>1018.7</v>
      </c>
      <c r="G100" s="51">
        <v>1018.7</v>
      </c>
      <c r="H100" s="51">
        <f>D100/12*11</f>
        <v>933.8083333333333</v>
      </c>
      <c r="I100" s="34">
        <v>1018.7</v>
      </c>
      <c r="J100" s="28">
        <f t="shared" si="19"/>
        <v>100</v>
      </c>
      <c r="K100" s="28">
        <f t="shared" si="15"/>
        <v>109.09090909090911</v>
      </c>
      <c r="L100" s="28">
        <f t="shared" si="18"/>
        <v>0</v>
      </c>
      <c r="M100" s="28">
        <f t="shared" si="16"/>
        <v>100</v>
      </c>
      <c r="N100" s="28">
        <f t="shared" si="17"/>
        <v>100</v>
      </c>
      <c r="O100" s="22">
        <f>N100-95</f>
        <v>5</v>
      </c>
      <c r="P100" s="22">
        <f>M100-95</f>
        <v>5</v>
      </c>
      <c r="Q100" s="22">
        <f>D100/D99*100</f>
        <v>100</v>
      </c>
      <c r="R100" s="22">
        <f>Q100/100*95</f>
        <v>95</v>
      </c>
      <c r="S100" s="22">
        <f>Q100/100*90</f>
        <v>90</v>
      </c>
    </row>
    <row r="101" spans="1:20" s="16" customFormat="1" ht="26.25" customHeight="1">
      <c r="A101" s="4" t="s">
        <v>61</v>
      </c>
      <c r="B101" s="5" t="s">
        <v>62</v>
      </c>
      <c r="C101" s="5" t="s">
        <v>102</v>
      </c>
      <c r="D101" s="32">
        <f>D102</f>
        <v>1601.3</v>
      </c>
      <c r="E101" s="89">
        <f t="shared" si="14"/>
        <v>1467.8583333333333</v>
      </c>
      <c r="F101" s="32">
        <f>F102</f>
        <v>1601.3</v>
      </c>
      <c r="G101" s="89">
        <f>G102</f>
        <v>1601.3</v>
      </c>
      <c r="H101" s="89">
        <f>H102</f>
        <v>1467.8583333333333</v>
      </c>
      <c r="I101" s="32">
        <f>I102</f>
        <v>1510.1</v>
      </c>
      <c r="J101" s="31">
        <f t="shared" si="19"/>
        <v>94.30462749016424</v>
      </c>
      <c r="K101" s="31">
        <f t="shared" si="15"/>
        <v>102.87777544381554</v>
      </c>
      <c r="L101" s="31">
        <f t="shared" si="18"/>
        <v>91.20000000000005</v>
      </c>
      <c r="M101" s="31">
        <f t="shared" si="16"/>
        <v>94.30462749016424</v>
      </c>
      <c r="N101" s="31">
        <f t="shared" si="17"/>
        <v>94.30462749016424</v>
      </c>
      <c r="O101" s="8" t="s">
        <v>124</v>
      </c>
      <c r="P101" s="8" t="s">
        <v>124</v>
      </c>
      <c r="Q101" s="32">
        <f>Q102</f>
        <v>100</v>
      </c>
      <c r="R101" s="32">
        <f>R102</f>
        <v>95</v>
      </c>
      <c r="S101" s="32">
        <f>S102</f>
        <v>90</v>
      </c>
      <c r="T101" s="72">
        <v>2</v>
      </c>
    </row>
    <row r="102" spans="1:19" s="16" customFormat="1" ht="16.5" customHeight="1">
      <c r="A102" s="104"/>
      <c r="B102" s="104"/>
      <c r="C102" s="6" t="s">
        <v>70</v>
      </c>
      <c r="D102" s="34">
        <v>1601.3</v>
      </c>
      <c r="E102" s="51">
        <f t="shared" si="14"/>
        <v>1467.8583333333333</v>
      </c>
      <c r="F102" s="34">
        <v>1601.3</v>
      </c>
      <c r="G102" s="51">
        <v>1601.3</v>
      </c>
      <c r="H102" s="51">
        <f>D102/12*11</f>
        <v>1467.8583333333333</v>
      </c>
      <c r="I102" s="34">
        <v>1510.1</v>
      </c>
      <c r="J102" s="28">
        <f t="shared" si="19"/>
        <v>94.30462749016424</v>
      </c>
      <c r="K102" s="28">
        <f t="shared" si="15"/>
        <v>102.87777544381554</v>
      </c>
      <c r="L102" s="28">
        <f t="shared" si="18"/>
        <v>91.20000000000005</v>
      </c>
      <c r="M102" s="28">
        <f t="shared" si="16"/>
        <v>94.30462749016424</v>
      </c>
      <c r="N102" s="28">
        <f t="shared" si="17"/>
        <v>94.30462749016424</v>
      </c>
      <c r="O102" s="22">
        <f>N102-95</f>
        <v>-0.6953725098357637</v>
      </c>
      <c r="P102" s="22">
        <f>M102-95</f>
        <v>-0.6953725098357637</v>
      </c>
      <c r="Q102" s="22">
        <f>D102/D101*100</f>
        <v>100</v>
      </c>
      <c r="R102" s="22">
        <f>Q102/100*95</f>
        <v>95</v>
      </c>
      <c r="S102" s="22">
        <f>Q102/100*90</f>
        <v>90</v>
      </c>
    </row>
    <row r="103" spans="1:20" s="16" customFormat="1" ht="36" customHeight="1">
      <c r="A103" s="4" t="s">
        <v>63</v>
      </c>
      <c r="B103" s="5" t="s">
        <v>64</v>
      </c>
      <c r="C103" s="5" t="s">
        <v>101</v>
      </c>
      <c r="D103" s="32">
        <f>D104</f>
        <v>1018</v>
      </c>
      <c r="E103" s="89">
        <f t="shared" si="14"/>
        <v>933.1666666666666</v>
      </c>
      <c r="F103" s="32">
        <f>F104</f>
        <v>1018</v>
      </c>
      <c r="G103" s="89">
        <f>G104</f>
        <v>1018</v>
      </c>
      <c r="H103" s="89">
        <f>H104</f>
        <v>933.1666666666666</v>
      </c>
      <c r="I103" s="32">
        <f>I104</f>
        <v>1017.9</v>
      </c>
      <c r="J103" s="31">
        <f t="shared" si="19"/>
        <v>99.9901768172888</v>
      </c>
      <c r="K103" s="31">
        <f t="shared" si="15"/>
        <v>109.08019289158779</v>
      </c>
      <c r="L103" s="31">
        <f t="shared" si="18"/>
        <v>0.10000000000002274</v>
      </c>
      <c r="M103" s="31">
        <f t="shared" si="16"/>
        <v>99.9901768172888</v>
      </c>
      <c r="N103" s="31">
        <f t="shared" si="17"/>
        <v>99.9901768172888</v>
      </c>
      <c r="O103" s="8" t="s">
        <v>124</v>
      </c>
      <c r="P103" s="8" t="s">
        <v>124</v>
      </c>
      <c r="Q103" s="32">
        <f>Q104</f>
        <v>100</v>
      </c>
      <c r="R103" s="32">
        <f>R104</f>
        <v>95</v>
      </c>
      <c r="S103" s="32">
        <f>S104</f>
        <v>90</v>
      </c>
      <c r="T103" s="72">
        <v>3</v>
      </c>
    </row>
    <row r="104" spans="1:19" s="16" customFormat="1" ht="15.75" customHeight="1">
      <c r="A104" s="104"/>
      <c r="B104" s="104"/>
      <c r="C104" s="6" t="s">
        <v>70</v>
      </c>
      <c r="D104" s="34">
        <v>1018</v>
      </c>
      <c r="E104" s="51">
        <f t="shared" si="14"/>
        <v>933.1666666666666</v>
      </c>
      <c r="F104" s="34">
        <v>1018</v>
      </c>
      <c r="G104" s="51">
        <v>1018</v>
      </c>
      <c r="H104" s="51">
        <f>D104/12*11</f>
        <v>933.1666666666666</v>
      </c>
      <c r="I104" s="34">
        <v>1017.9</v>
      </c>
      <c r="J104" s="28">
        <f t="shared" si="19"/>
        <v>99.9901768172888</v>
      </c>
      <c r="K104" s="28">
        <f t="shared" si="15"/>
        <v>109.08019289158779</v>
      </c>
      <c r="L104" s="28">
        <f t="shared" si="18"/>
        <v>0.10000000000002274</v>
      </c>
      <c r="M104" s="28">
        <f t="shared" si="16"/>
        <v>99.9901768172888</v>
      </c>
      <c r="N104" s="28">
        <f t="shared" si="17"/>
        <v>99.9901768172888</v>
      </c>
      <c r="O104" s="22">
        <f>N104-95</f>
        <v>4.990176817288798</v>
      </c>
      <c r="P104" s="22">
        <f>M104-95</f>
        <v>4.990176817288798</v>
      </c>
      <c r="Q104" s="22">
        <f>D104/D103*100</f>
        <v>100</v>
      </c>
      <c r="R104" s="22">
        <f>Q104/100*95</f>
        <v>95</v>
      </c>
      <c r="S104" s="22">
        <f>Q104/100*90</f>
        <v>90</v>
      </c>
    </row>
    <row r="105" spans="1:20" s="16" customFormat="1" ht="30" customHeight="1">
      <c r="A105" s="4" t="s">
        <v>65</v>
      </c>
      <c r="B105" s="5" t="s">
        <v>66</v>
      </c>
      <c r="C105" s="5" t="s">
        <v>100</v>
      </c>
      <c r="D105" s="32">
        <f>D106</f>
        <v>1032.1</v>
      </c>
      <c r="E105" s="89">
        <f t="shared" si="14"/>
        <v>946.0916666666666</v>
      </c>
      <c r="F105" s="32">
        <f>F106</f>
        <v>1032.1</v>
      </c>
      <c r="G105" s="89">
        <f>G106</f>
        <v>1032.1</v>
      </c>
      <c r="H105" s="89">
        <f>H106</f>
        <v>946.0916666666666</v>
      </c>
      <c r="I105" s="32">
        <f>I106</f>
        <v>1029.7</v>
      </c>
      <c r="J105" s="31">
        <f t="shared" si="19"/>
        <v>99.76746439298519</v>
      </c>
      <c r="K105" s="31">
        <f t="shared" si="15"/>
        <v>108.83723388325657</v>
      </c>
      <c r="L105" s="31">
        <f t="shared" si="18"/>
        <v>2.3999999999998636</v>
      </c>
      <c r="M105" s="31">
        <f aca="true" t="shared" si="20" ref="M105:M128">I105/D105*100</f>
        <v>99.76746439298519</v>
      </c>
      <c r="N105" s="31">
        <f t="shared" si="17"/>
        <v>99.76746439298519</v>
      </c>
      <c r="O105" s="8" t="s">
        <v>124</v>
      </c>
      <c r="P105" s="8" t="s">
        <v>124</v>
      </c>
      <c r="Q105" s="32">
        <f>Q106</f>
        <v>100</v>
      </c>
      <c r="R105" s="32">
        <f>R106</f>
        <v>95</v>
      </c>
      <c r="S105" s="32">
        <f>S106</f>
        <v>90</v>
      </c>
      <c r="T105" s="72">
        <v>3</v>
      </c>
    </row>
    <row r="106" spans="1:19" s="16" customFormat="1" ht="16.5" customHeight="1">
      <c r="A106" s="104"/>
      <c r="B106" s="104"/>
      <c r="C106" s="6" t="s">
        <v>70</v>
      </c>
      <c r="D106" s="34">
        <v>1032.1</v>
      </c>
      <c r="E106" s="51">
        <f t="shared" si="14"/>
        <v>946.0916666666666</v>
      </c>
      <c r="F106" s="34">
        <v>1032.1</v>
      </c>
      <c r="G106" s="51">
        <v>1032.1</v>
      </c>
      <c r="H106" s="51">
        <f>D106/12*11</f>
        <v>946.0916666666666</v>
      </c>
      <c r="I106" s="34">
        <v>1029.7</v>
      </c>
      <c r="J106" s="28">
        <f t="shared" si="19"/>
        <v>99.76746439298519</v>
      </c>
      <c r="K106" s="28">
        <f t="shared" si="15"/>
        <v>108.83723388325657</v>
      </c>
      <c r="L106" s="28">
        <f t="shared" si="18"/>
        <v>2.3999999999998636</v>
      </c>
      <c r="M106" s="28">
        <f t="shared" si="20"/>
        <v>99.76746439298519</v>
      </c>
      <c r="N106" s="28">
        <f t="shared" si="17"/>
        <v>99.76746439298519</v>
      </c>
      <c r="O106" s="22">
        <f>N106-95</f>
        <v>4.76746439298519</v>
      </c>
      <c r="P106" s="22">
        <f>M106-95</f>
        <v>4.76746439298519</v>
      </c>
      <c r="Q106" s="22">
        <f>D106/D105*100</f>
        <v>100</v>
      </c>
      <c r="R106" s="22">
        <f>Q106/100*95</f>
        <v>95</v>
      </c>
      <c r="S106" s="22">
        <f>Q106/100*90</f>
        <v>90</v>
      </c>
    </row>
    <row r="107" spans="1:20" s="16" customFormat="1" ht="39.75" customHeight="1">
      <c r="A107" s="4" t="s">
        <v>67</v>
      </c>
      <c r="B107" s="5" t="s">
        <v>68</v>
      </c>
      <c r="C107" s="5" t="s">
        <v>99</v>
      </c>
      <c r="D107" s="32">
        <f>D108</f>
        <v>1018.5</v>
      </c>
      <c r="E107" s="89">
        <f t="shared" si="14"/>
        <v>933.625</v>
      </c>
      <c r="F107" s="32">
        <f>F108</f>
        <v>1018.5</v>
      </c>
      <c r="G107" s="89">
        <f>G108</f>
        <v>1018.5</v>
      </c>
      <c r="H107" s="89">
        <f>H108</f>
        <v>933.625</v>
      </c>
      <c r="I107" s="32">
        <f>I108</f>
        <v>1018.5</v>
      </c>
      <c r="J107" s="31">
        <f t="shared" si="19"/>
        <v>100</v>
      </c>
      <c r="K107" s="31">
        <f t="shared" si="15"/>
        <v>109.09090909090908</v>
      </c>
      <c r="L107" s="31">
        <f t="shared" si="18"/>
        <v>0</v>
      </c>
      <c r="M107" s="31">
        <f t="shared" si="20"/>
        <v>100</v>
      </c>
      <c r="N107" s="31">
        <f t="shared" si="17"/>
        <v>100</v>
      </c>
      <c r="O107" s="8" t="s">
        <v>124</v>
      </c>
      <c r="P107" s="8" t="s">
        <v>124</v>
      </c>
      <c r="Q107" s="32">
        <f>Q108</f>
        <v>100</v>
      </c>
      <c r="R107" s="32">
        <f>R108</f>
        <v>95</v>
      </c>
      <c r="S107" s="32">
        <f>S108</f>
        <v>90</v>
      </c>
      <c r="T107" s="72">
        <v>1</v>
      </c>
    </row>
    <row r="108" spans="1:19" s="16" customFormat="1" ht="16.5" customHeight="1">
      <c r="A108" s="104"/>
      <c r="B108" s="104"/>
      <c r="C108" s="6" t="s">
        <v>70</v>
      </c>
      <c r="D108" s="34">
        <v>1018.5</v>
      </c>
      <c r="E108" s="51">
        <f t="shared" si="14"/>
        <v>933.625</v>
      </c>
      <c r="F108" s="34">
        <v>1018.5</v>
      </c>
      <c r="G108" s="51">
        <v>1018.5</v>
      </c>
      <c r="H108" s="51">
        <f>D108/12*11</f>
        <v>933.625</v>
      </c>
      <c r="I108" s="34">
        <v>1018.5</v>
      </c>
      <c r="J108" s="28">
        <f t="shared" si="19"/>
        <v>100</v>
      </c>
      <c r="K108" s="28">
        <f t="shared" si="15"/>
        <v>109.09090909090908</v>
      </c>
      <c r="L108" s="28">
        <f t="shared" si="18"/>
        <v>0</v>
      </c>
      <c r="M108" s="28">
        <f t="shared" si="20"/>
        <v>100</v>
      </c>
      <c r="N108" s="28">
        <f t="shared" si="17"/>
        <v>100</v>
      </c>
      <c r="O108" s="22">
        <f>N108-95</f>
        <v>5</v>
      </c>
      <c r="P108" s="22">
        <f>M108-95</f>
        <v>5</v>
      </c>
      <c r="Q108" s="22">
        <f>D108/D107*100</f>
        <v>100</v>
      </c>
      <c r="R108" s="22">
        <f>Q108/100*95</f>
        <v>95</v>
      </c>
      <c r="S108" s="22">
        <f>Q108/100*90</f>
        <v>90</v>
      </c>
    </row>
    <row r="109" spans="1:20" s="16" customFormat="1" ht="18" customHeight="1">
      <c r="A109" s="4" t="s">
        <v>42</v>
      </c>
      <c r="B109" s="5" t="s">
        <v>43</v>
      </c>
      <c r="C109" s="5" t="s">
        <v>92</v>
      </c>
      <c r="D109" s="32">
        <f>SUM(D110:D112)</f>
        <v>410967.89999999997</v>
      </c>
      <c r="E109" s="89">
        <f t="shared" si="14"/>
        <v>376720.57499999995</v>
      </c>
      <c r="F109" s="32">
        <f>SUM(F110:F112)</f>
        <v>381003.89999999997</v>
      </c>
      <c r="G109" s="89">
        <f>SUM(G110:G112)</f>
        <v>415604.1</v>
      </c>
      <c r="H109" s="89">
        <f>SUM(H110:H112)</f>
        <v>292606.4916666667</v>
      </c>
      <c r="I109" s="32">
        <f>I110+I111+I112</f>
        <v>368351.5</v>
      </c>
      <c r="J109" s="31">
        <f t="shared" si="19"/>
        <v>88.63038165407897</v>
      </c>
      <c r="K109" s="31">
        <f t="shared" si="15"/>
        <v>125.88630481227361</v>
      </c>
      <c r="L109" s="31">
        <f t="shared" si="18"/>
        <v>12652.399999999965</v>
      </c>
      <c r="M109" s="31">
        <f t="shared" si="20"/>
        <v>89.63023632746014</v>
      </c>
      <c r="N109" s="31">
        <f t="shared" si="17"/>
        <v>96.67919409748825</v>
      </c>
      <c r="O109" s="8" t="s">
        <v>124</v>
      </c>
      <c r="P109" s="8" t="s">
        <v>124</v>
      </c>
      <c r="Q109" s="32">
        <f>SUM(Q110:Q112)</f>
        <v>100</v>
      </c>
      <c r="R109" s="32">
        <f>SUM(R110:R112)</f>
        <v>99.93723475726449</v>
      </c>
      <c r="S109" s="32">
        <f>SUM(S110:S112)</f>
        <v>94.9372347572645</v>
      </c>
      <c r="T109" s="72">
        <v>2</v>
      </c>
    </row>
    <row r="110" spans="1:19" s="16" customFormat="1" ht="15.75" customHeight="1">
      <c r="A110" s="104"/>
      <c r="B110" s="104"/>
      <c r="C110" s="6" t="s">
        <v>69</v>
      </c>
      <c r="D110" s="34">
        <v>405809</v>
      </c>
      <c r="E110" s="51">
        <f t="shared" si="14"/>
        <v>371991.5833333333</v>
      </c>
      <c r="F110" s="34">
        <v>375845</v>
      </c>
      <c r="G110" s="51">
        <v>410280.9</v>
      </c>
      <c r="H110" s="51">
        <v>287877.5</v>
      </c>
      <c r="I110" s="34">
        <v>363294.8</v>
      </c>
      <c r="J110" s="28">
        <f t="shared" si="19"/>
        <v>88.5478217484655</v>
      </c>
      <c r="K110" s="28">
        <f t="shared" si="15"/>
        <v>126.19770562131463</v>
      </c>
      <c r="L110" s="28">
        <f t="shared" si="18"/>
        <v>12550.200000000012</v>
      </c>
      <c r="M110" s="28">
        <f t="shared" si="20"/>
        <v>89.52359361177302</v>
      </c>
      <c r="N110" s="28">
        <f t="shared" si="17"/>
        <v>96.66080432093017</v>
      </c>
      <c r="O110" s="22">
        <f>N110-100</f>
        <v>-3.3391956790698316</v>
      </c>
      <c r="P110" s="22">
        <f>M110-95</f>
        <v>-5.476406388226977</v>
      </c>
      <c r="Q110" s="22">
        <f>D110/D109*100</f>
        <v>98.74469514528994</v>
      </c>
      <c r="R110" s="22">
        <f>Q110/100*100</f>
        <v>98.74469514528994</v>
      </c>
      <c r="S110" s="22">
        <f>Q110/100*95</f>
        <v>93.80746038802545</v>
      </c>
    </row>
    <row r="111" spans="1:19" s="16" customFormat="1" ht="14.25" customHeight="1">
      <c r="A111" s="104"/>
      <c r="B111" s="104"/>
      <c r="C111" s="6" t="s">
        <v>70</v>
      </c>
      <c r="D111" s="34">
        <v>4573.1</v>
      </c>
      <c r="E111" s="51">
        <f t="shared" si="14"/>
        <v>4192.008333333333</v>
      </c>
      <c r="F111" s="34">
        <v>4573.1</v>
      </c>
      <c r="G111" s="51">
        <v>4813.1</v>
      </c>
      <c r="H111" s="51">
        <f>D111/12*11</f>
        <v>4192.008333333333</v>
      </c>
      <c r="I111" s="34">
        <v>4492</v>
      </c>
      <c r="J111" s="28">
        <f t="shared" si="19"/>
        <v>93.32862396376555</v>
      </c>
      <c r="K111" s="28">
        <f t="shared" si="15"/>
        <v>107.15627553221307</v>
      </c>
      <c r="L111" s="28">
        <f t="shared" si="18"/>
        <v>81.10000000000036</v>
      </c>
      <c r="M111" s="28">
        <f t="shared" si="20"/>
        <v>98.22658590452865</v>
      </c>
      <c r="N111" s="28">
        <f t="shared" si="17"/>
        <v>98.22658590452865</v>
      </c>
      <c r="O111" s="22">
        <f>N111-95</f>
        <v>3.2265859045286476</v>
      </c>
      <c r="P111" s="22">
        <f>M111-95</f>
        <v>3.2265859045286476</v>
      </c>
      <c r="Q111" s="22">
        <f>D111/D109*100</f>
        <v>1.1127633082778488</v>
      </c>
      <c r="R111" s="22">
        <f>Q111/100*95</f>
        <v>1.0571251428639563</v>
      </c>
      <c r="S111" s="22">
        <f>Q111/100*90</f>
        <v>1.0014869774500639</v>
      </c>
    </row>
    <row r="112" spans="1:19" s="16" customFormat="1" ht="26.25" customHeight="1">
      <c r="A112" s="104"/>
      <c r="B112" s="104"/>
      <c r="C112" s="6" t="s">
        <v>71</v>
      </c>
      <c r="D112" s="34">
        <v>585.8</v>
      </c>
      <c r="E112" s="34">
        <v>585.8</v>
      </c>
      <c r="F112" s="34">
        <v>585.8</v>
      </c>
      <c r="G112" s="51">
        <v>510.1</v>
      </c>
      <c r="H112" s="51">
        <f>D112/12*11</f>
        <v>536.9833333333333</v>
      </c>
      <c r="I112" s="34">
        <v>564.7</v>
      </c>
      <c r="J112" s="28">
        <f t="shared" si="19"/>
        <v>110.70378357184867</v>
      </c>
      <c r="K112" s="28">
        <f t="shared" si="15"/>
        <v>105.1615506378224</v>
      </c>
      <c r="L112" s="28">
        <f t="shared" si="18"/>
        <v>21.09999999999991</v>
      </c>
      <c r="M112" s="28">
        <f t="shared" si="20"/>
        <v>96.39808808467055</v>
      </c>
      <c r="N112" s="28">
        <f t="shared" si="17"/>
        <v>96.39808808467055</v>
      </c>
      <c r="O112" s="22">
        <f>N112-95</f>
        <v>1.3980880846705475</v>
      </c>
      <c r="P112" s="22">
        <f>M112-95</f>
        <v>1.3980880846705475</v>
      </c>
      <c r="Q112" s="22">
        <f>D112/D109*100</f>
        <v>0.14254154643221528</v>
      </c>
      <c r="R112" s="22">
        <f>Q112/100*95</f>
        <v>0.1354144691106045</v>
      </c>
      <c r="S112" s="22">
        <f>Q112/100*90</f>
        <v>0.12828739178899376</v>
      </c>
    </row>
    <row r="113" spans="1:20" s="16" customFormat="1" ht="38.25">
      <c r="A113" s="4" t="s">
        <v>44</v>
      </c>
      <c r="B113" s="5" t="s">
        <v>45</v>
      </c>
      <c r="C113" s="5" t="s">
        <v>93</v>
      </c>
      <c r="D113" s="32">
        <f>D114+D116+D115</f>
        <v>309842.9</v>
      </c>
      <c r="E113" s="89">
        <f t="shared" si="14"/>
        <v>284022.6583333333</v>
      </c>
      <c r="F113" s="32">
        <f>F114+F116+F115</f>
        <v>297877.1</v>
      </c>
      <c r="G113" s="89">
        <f>G114+G116+G115</f>
        <v>302194.2</v>
      </c>
      <c r="H113" s="89">
        <f>H114+H116+H115</f>
        <v>181368.91666666666</v>
      </c>
      <c r="I113" s="32">
        <f>I114+I116+I115</f>
        <v>174008</v>
      </c>
      <c r="J113" s="31">
        <f t="shared" si="19"/>
        <v>57.58151546257341</v>
      </c>
      <c r="K113" s="31">
        <f t="shared" si="15"/>
        <v>95.94146736830595</v>
      </c>
      <c r="L113" s="31">
        <f t="shared" si="18"/>
        <v>123869.09999999998</v>
      </c>
      <c r="M113" s="31">
        <f t="shared" si="20"/>
        <v>56.160073379122124</v>
      </c>
      <c r="N113" s="31">
        <f t="shared" si="17"/>
        <v>58.4160380237353</v>
      </c>
      <c r="O113" s="8" t="s">
        <v>124</v>
      </c>
      <c r="P113" s="8" t="s">
        <v>124</v>
      </c>
      <c r="Q113" s="32">
        <f>Q114+Q116+Q115</f>
        <v>100</v>
      </c>
      <c r="R113" s="32">
        <f>R114+R116+R115</f>
        <v>98.09157802228161</v>
      </c>
      <c r="S113" s="32">
        <f>S114+S116+S115</f>
        <v>93.09157802228162</v>
      </c>
      <c r="T113" s="72">
        <v>1</v>
      </c>
    </row>
    <row r="114" spans="1:19" s="16" customFormat="1" ht="17.25" customHeight="1">
      <c r="A114" s="104"/>
      <c r="B114" s="104"/>
      <c r="C114" s="6" t="s">
        <v>69</v>
      </c>
      <c r="D114" s="34">
        <v>191580.7</v>
      </c>
      <c r="E114" s="51">
        <f t="shared" si="14"/>
        <v>175615.64166666666</v>
      </c>
      <c r="F114" s="34">
        <v>179614.9</v>
      </c>
      <c r="G114" s="51">
        <v>191196.3</v>
      </c>
      <c r="H114" s="51">
        <v>72961.9</v>
      </c>
      <c r="I114" s="34">
        <v>166367</v>
      </c>
      <c r="J114" s="28">
        <f t="shared" si="19"/>
        <v>87.01371313147797</v>
      </c>
      <c r="K114" s="28">
        <f t="shared" si="15"/>
        <v>228.01900718045997</v>
      </c>
      <c r="L114" s="28">
        <f t="shared" si="18"/>
        <v>13247.899999999994</v>
      </c>
      <c r="M114" s="28">
        <f t="shared" si="20"/>
        <v>86.83912314758219</v>
      </c>
      <c r="N114" s="28">
        <f t="shared" si="17"/>
        <v>92.62427560297058</v>
      </c>
      <c r="O114" s="22">
        <f>N114-100</f>
        <v>-7.3757243970294155</v>
      </c>
      <c r="P114" s="22">
        <f>M114-95</f>
        <v>-8.160876852417815</v>
      </c>
      <c r="Q114" s="22">
        <f>D114/D113*100</f>
        <v>61.831560445632284</v>
      </c>
      <c r="R114" s="22">
        <f>Q114/100*100</f>
        <v>61.831560445632284</v>
      </c>
      <c r="S114" s="22">
        <f>Q114/100*95</f>
        <v>58.73998242335067</v>
      </c>
    </row>
    <row r="115" spans="1:19" s="16" customFormat="1" ht="25.5">
      <c r="A115" s="104"/>
      <c r="B115" s="104"/>
      <c r="C115" s="6" t="s">
        <v>129</v>
      </c>
      <c r="D115" s="34">
        <v>109287.1</v>
      </c>
      <c r="E115" s="51">
        <f t="shared" si="14"/>
        <v>100179.84166666666</v>
      </c>
      <c r="F115" s="34">
        <v>109287.1</v>
      </c>
      <c r="G115" s="51">
        <v>103287.2</v>
      </c>
      <c r="H115" s="51">
        <f>D115/12*11</f>
        <v>100179.84166666666</v>
      </c>
      <c r="I115" s="34">
        <v>123.7</v>
      </c>
      <c r="J115" s="28">
        <f t="shared" si="19"/>
        <v>0.11976314586899443</v>
      </c>
      <c r="K115" s="28">
        <f t="shared" si="15"/>
        <v>0.1234779352233288</v>
      </c>
      <c r="L115" s="28">
        <f t="shared" si="18"/>
        <v>109163.40000000001</v>
      </c>
      <c r="M115" s="28">
        <f t="shared" si="20"/>
        <v>0.11318810728805138</v>
      </c>
      <c r="N115" s="28">
        <f t="shared" si="17"/>
        <v>0.11318810728805138</v>
      </c>
      <c r="O115" s="22">
        <f>N115-95</f>
        <v>-94.88681189271195</v>
      </c>
      <c r="P115" s="22">
        <f>M115-95</f>
        <v>-94.88681189271195</v>
      </c>
      <c r="Q115" s="22">
        <f>D115/D113*100</f>
        <v>35.27177805268412</v>
      </c>
      <c r="R115" s="22">
        <f>Q115/100*95</f>
        <v>33.508189150049915</v>
      </c>
      <c r="S115" s="22">
        <f>Q115/100*90</f>
        <v>31.74460024741571</v>
      </c>
    </row>
    <row r="116" spans="1:19" s="16" customFormat="1" ht="27.75" customHeight="1">
      <c r="A116" s="104"/>
      <c r="B116" s="104"/>
      <c r="C116" s="6" t="s">
        <v>71</v>
      </c>
      <c r="D116" s="34">
        <v>8975.1</v>
      </c>
      <c r="E116" s="34">
        <v>8975.1</v>
      </c>
      <c r="F116" s="34">
        <v>8975.1</v>
      </c>
      <c r="G116" s="51">
        <v>7710.7</v>
      </c>
      <c r="H116" s="51">
        <f>D116/12*11</f>
        <v>8227.175000000001</v>
      </c>
      <c r="I116" s="34">
        <v>7517.3</v>
      </c>
      <c r="J116" s="28">
        <f t="shared" si="19"/>
        <v>97.49179711310258</v>
      </c>
      <c r="K116" s="28">
        <f t="shared" si="15"/>
        <v>91.37158259062193</v>
      </c>
      <c r="L116" s="28">
        <f t="shared" si="18"/>
        <v>1457.8000000000002</v>
      </c>
      <c r="M116" s="28">
        <f t="shared" si="20"/>
        <v>83.75728404140344</v>
      </c>
      <c r="N116" s="28">
        <f t="shared" si="17"/>
        <v>83.75728404140344</v>
      </c>
      <c r="O116" s="22">
        <f>N116-95</f>
        <v>-11.242715958596563</v>
      </c>
      <c r="P116" s="22">
        <f>M116-95</f>
        <v>-11.242715958596563</v>
      </c>
      <c r="Q116" s="22">
        <f>D116/D113*100</f>
        <v>2.896661501683595</v>
      </c>
      <c r="R116" s="22">
        <f>Q116/100*95</f>
        <v>2.751828426599415</v>
      </c>
      <c r="S116" s="22">
        <f>Q116/100*90</f>
        <v>2.6069953515152355</v>
      </c>
    </row>
    <row r="117" spans="1:20" s="16" customFormat="1" ht="25.5">
      <c r="A117" s="4" t="s">
        <v>46</v>
      </c>
      <c r="B117" s="5" t="s">
        <v>47</v>
      </c>
      <c r="C117" s="5" t="s">
        <v>94</v>
      </c>
      <c r="D117" s="32">
        <f>D118</f>
        <v>20116.6</v>
      </c>
      <c r="E117" s="89">
        <f t="shared" si="14"/>
        <v>18440.216666666667</v>
      </c>
      <c r="F117" s="32">
        <f>F118</f>
        <v>19783.8</v>
      </c>
      <c r="G117" s="89">
        <f>G118</f>
        <v>20116.6</v>
      </c>
      <c r="H117" s="89">
        <f>H118</f>
        <v>15268.5</v>
      </c>
      <c r="I117" s="32">
        <f>I118</f>
        <v>18922.3</v>
      </c>
      <c r="J117" s="31">
        <f t="shared" si="19"/>
        <v>94.06311205670939</v>
      </c>
      <c r="K117" s="31">
        <f t="shared" si="15"/>
        <v>123.93031404525657</v>
      </c>
      <c r="L117" s="31">
        <f t="shared" si="18"/>
        <v>861.5</v>
      </c>
      <c r="M117" s="31">
        <f t="shared" si="20"/>
        <v>94.06311205670939</v>
      </c>
      <c r="N117" s="31">
        <f t="shared" si="17"/>
        <v>95.64542706658983</v>
      </c>
      <c r="O117" s="8" t="s">
        <v>124</v>
      </c>
      <c r="P117" s="8" t="s">
        <v>124</v>
      </c>
      <c r="Q117" s="32">
        <f>Q118</f>
        <v>100</v>
      </c>
      <c r="R117" s="32">
        <f>R118</f>
        <v>100</v>
      </c>
      <c r="S117" s="32">
        <f>S118</f>
        <v>95</v>
      </c>
      <c r="T117" s="72">
        <v>2</v>
      </c>
    </row>
    <row r="118" spans="1:19" s="16" customFormat="1" ht="18" customHeight="1">
      <c r="A118" s="104"/>
      <c r="B118" s="104"/>
      <c r="C118" s="6" t="s">
        <v>69</v>
      </c>
      <c r="D118" s="34">
        <v>20116.6</v>
      </c>
      <c r="E118" s="51">
        <f t="shared" si="14"/>
        <v>18440.216666666667</v>
      </c>
      <c r="F118" s="34">
        <v>19783.8</v>
      </c>
      <c r="G118" s="51">
        <v>20116.6</v>
      </c>
      <c r="H118" s="51">
        <v>15268.5</v>
      </c>
      <c r="I118" s="34">
        <v>18922.3</v>
      </c>
      <c r="J118" s="28">
        <f t="shared" si="19"/>
        <v>94.06311205670939</v>
      </c>
      <c r="K118" s="28">
        <f t="shared" si="15"/>
        <v>123.93031404525657</v>
      </c>
      <c r="L118" s="28">
        <f t="shared" si="18"/>
        <v>861.5</v>
      </c>
      <c r="M118" s="28">
        <f t="shared" si="20"/>
        <v>94.06311205670939</v>
      </c>
      <c r="N118" s="28">
        <f t="shared" si="17"/>
        <v>95.64542706658983</v>
      </c>
      <c r="O118" s="22">
        <f>N118-100</f>
        <v>-4.354572933410168</v>
      </c>
      <c r="P118" s="22">
        <f>M118-95</f>
        <v>-0.9368879432906141</v>
      </c>
      <c r="Q118" s="22">
        <f>D118/D117*100</f>
        <v>100</v>
      </c>
      <c r="R118" s="22">
        <f>Q118/100*100</f>
        <v>100</v>
      </c>
      <c r="S118" s="22">
        <f>Q118/100*95</f>
        <v>95</v>
      </c>
    </row>
    <row r="119" spans="1:20" s="16" customFormat="1" ht="28.5" customHeight="1">
      <c r="A119" s="4" t="s">
        <v>48</v>
      </c>
      <c r="B119" s="5" t="s">
        <v>49</v>
      </c>
      <c r="C119" s="5" t="s">
        <v>95</v>
      </c>
      <c r="D119" s="32">
        <f>D120</f>
        <v>6107.3</v>
      </c>
      <c r="E119" s="89">
        <f t="shared" si="14"/>
        <v>5598.358333333334</v>
      </c>
      <c r="F119" s="32">
        <f>F120</f>
        <v>6065.7</v>
      </c>
      <c r="G119" s="89">
        <f>G120</f>
        <v>4442.9</v>
      </c>
      <c r="H119" s="89">
        <f>H120</f>
        <v>3562.7</v>
      </c>
      <c r="I119" s="32">
        <f>I120</f>
        <v>5634.2</v>
      </c>
      <c r="J119" s="31">
        <f t="shared" si="19"/>
        <v>126.8135677147809</v>
      </c>
      <c r="K119" s="31">
        <f t="shared" si="15"/>
        <v>158.14410419064194</v>
      </c>
      <c r="L119" s="31">
        <f t="shared" si="18"/>
        <v>431.5</v>
      </c>
      <c r="M119" s="31">
        <f t="shared" si="20"/>
        <v>92.25353265763921</v>
      </c>
      <c r="N119" s="31">
        <f t="shared" si="17"/>
        <v>92.88622912442092</v>
      </c>
      <c r="O119" s="8" t="s">
        <v>124</v>
      </c>
      <c r="P119" s="8" t="s">
        <v>124</v>
      </c>
      <c r="Q119" s="32">
        <f>Q120</f>
        <v>100</v>
      </c>
      <c r="R119" s="32">
        <f>R120</f>
        <v>100</v>
      </c>
      <c r="S119" s="32">
        <f>S120</f>
        <v>95</v>
      </c>
      <c r="T119" s="72">
        <v>3</v>
      </c>
    </row>
    <row r="120" spans="1:19" s="16" customFormat="1" ht="18" customHeight="1">
      <c r="A120" s="104"/>
      <c r="B120" s="104"/>
      <c r="C120" s="6" t="s">
        <v>69</v>
      </c>
      <c r="D120" s="34">
        <v>6107.3</v>
      </c>
      <c r="E120" s="51">
        <f t="shared" si="14"/>
        <v>5598.358333333334</v>
      </c>
      <c r="F120" s="34">
        <v>6065.7</v>
      </c>
      <c r="G120" s="51">
        <v>4442.9</v>
      </c>
      <c r="H120" s="51">
        <v>3562.7</v>
      </c>
      <c r="I120" s="34">
        <v>5634.2</v>
      </c>
      <c r="J120" s="28">
        <f t="shared" si="19"/>
        <v>126.8135677147809</v>
      </c>
      <c r="K120" s="28">
        <f t="shared" si="15"/>
        <v>158.14410419064194</v>
      </c>
      <c r="L120" s="28">
        <f t="shared" si="18"/>
        <v>431.5</v>
      </c>
      <c r="M120" s="28">
        <f t="shared" si="20"/>
        <v>92.25353265763921</v>
      </c>
      <c r="N120" s="28">
        <f t="shared" si="17"/>
        <v>92.88622912442092</v>
      </c>
      <c r="O120" s="22">
        <f>N120-100</f>
        <v>-7.113770875579078</v>
      </c>
      <c r="P120" s="22">
        <f>M120-95</f>
        <v>-2.7464673423607877</v>
      </c>
      <c r="Q120" s="22">
        <f>D120/D119*100</f>
        <v>100</v>
      </c>
      <c r="R120" s="22">
        <f>Q120/100*100</f>
        <v>100</v>
      </c>
      <c r="S120" s="22">
        <f>Q120/100*95</f>
        <v>95</v>
      </c>
    </row>
    <row r="121" spans="1:20" s="16" customFormat="1" ht="18" customHeight="1">
      <c r="A121" s="4" t="s">
        <v>50</v>
      </c>
      <c r="B121" s="5" t="s">
        <v>51</v>
      </c>
      <c r="C121" s="5" t="s">
        <v>96</v>
      </c>
      <c r="D121" s="32">
        <f>D122</f>
        <v>126711.6</v>
      </c>
      <c r="E121" s="89">
        <f t="shared" si="14"/>
        <v>116152.30000000002</v>
      </c>
      <c r="F121" s="32">
        <f>F122</f>
        <v>118257.6</v>
      </c>
      <c r="G121" s="89">
        <f>G122</f>
        <v>126711.1</v>
      </c>
      <c r="H121" s="89">
        <f>H122</f>
        <v>94510.8</v>
      </c>
      <c r="I121" s="32">
        <f>I122</f>
        <v>115088.8</v>
      </c>
      <c r="J121" s="31">
        <f t="shared" si="19"/>
        <v>90.82771754013658</v>
      </c>
      <c r="K121" s="31">
        <f t="shared" si="15"/>
        <v>121.77317301303133</v>
      </c>
      <c r="L121" s="31">
        <f t="shared" si="18"/>
        <v>3168.800000000003</v>
      </c>
      <c r="M121" s="31">
        <f t="shared" si="20"/>
        <v>90.82735913681147</v>
      </c>
      <c r="N121" s="31">
        <f t="shared" si="17"/>
        <v>97.32042591765772</v>
      </c>
      <c r="O121" s="8" t="s">
        <v>124</v>
      </c>
      <c r="P121" s="8" t="s">
        <v>124</v>
      </c>
      <c r="Q121" s="32">
        <f>Q122</f>
        <v>100</v>
      </c>
      <c r="R121" s="32">
        <f>R122</f>
        <v>100</v>
      </c>
      <c r="S121" s="32">
        <f>S122</f>
        <v>95</v>
      </c>
      <c r="T121" s="72">
        <v>3</v>
      </c>
    </row>
    <row r="122" spans="1:19" s="16" customFormat="1" ht="17.25" customHeight="1">
      <c r="A122" s="104"/>
      <c r="B122" s="104"/>
      <c r="C122" s="6" t="s">
        <v>69</v>
      </c>
      <c r="D122" s="34">
        <v>126711.6</v>
      </c>
      <c r="E122" s="51">
        <f t="shared" si="14"/>
        <v>116152.30000000002</v>
      </c>
      <c r="F122" s="34">
        <v>118257.6</v>
      </c>
      <c r="G122" s="51">
        <v>126711.1</v>
      </c>
      <c r="H122" s="51">
        <v>94510.8</v>
      </c>
      <c r="I122" s="34">
        <v>115088.8</v>
      </c>
      <c r="J122" s="28">
        <f t="shared" si="19"/>
        <v>90.82771754013658</v>
      </c>
      <c r="K122" s="28">
        <f t="shared" si="15"/>
        <v>121.77317301303133</v>
      </c>
      <c r="L122" s="28">
        <f t="shared" si="18"/>
        <v>3168.800000000003</v>
      </c>
      <c r="M122" s="28">
        <f t="shared" si="20"/>
        <v>90.82735913681147</v>
      </c>
      <c r="N122" s="28">
        <f t="shared" si="17"/>
        <v>97.32042591765772</v>
      </c>
      <c r="O122" s="22">
        <f>N122-100</f>
        <v>-2.6795740823422847</v>
      </c>
      <c r="P122" s="22">
        <f>M122-95</f>
        <v>-4.1726408631885334</v>
      </c>
      <c r="Q122" s="22">
        <f>D122/D121*100</f>
        <v>100</v>
      </c>
      <c r="R122" s="22">
        <f>Q122/100*100</f>
        <v>100</v>
      </c>
      <c r="S122" s="22">
        <f>Q122/100*95</f>
        <v>95</v>
      </c>
    </row>
    <row r="123" spans="1:20" ht="30.75" customHeight="1">
      <c r="A123" s="4" t="s">
        <v>52</v>
      </c>
      <c r="B123" s="5" t="s">
        <v>53</v>
      </c>
      <c r="C123" s="5" t="s">
        <v>98</v>
      </c>
      <c r="D123" s="32">
        <f>D124+D125+D126</f>
        <v>1036617</v>
      </c>
      <c r="E123" s="89">
        <f t="shared" si="14"/>
        <v>950232.25</v>
      </c>
      <c r="F123" s="32">
        <f>F124+F125+F126</f>
        <v>1006764.3999999999</v>
      </c>
      <c r="G123" s="89">
        <f>G124+G125+G126</f>
        <v>1033335.3999999999</v>
      </c>
      <c r="H123" s="89">
        <f>H124+H125+H126</f>
        <v>711988.925</v>
      </c>
      <c r="I123" s="32">
        <f>I124+I125+I126</f>
        <v>753807</v>
      </c>
      <c r="J123" s="31">
        <f t="shared" si="19"/>
        <v>72.9489186182918</v>
      </c>
      <c r="K123" s="31">
        <f t="shared" si="15"/>
        <v>105.87341650012323</v>
      </c>
      <c r="L123" s="31">
        <f t="shared" si="18"/>
        <v>252957.3999999999</v>
      </c>
      <c r="M123" s="38">
        <f t="shared" si="20"/>
        <v>72.7179855240653</v>
      </c>
      <c r="N123" s="31">
        <f t="shared" si="17"/>
        <v>74.87422082068059</v>
      </c>
      <c r="O123" s="8" t="s">
        <v>124</v>
      </c>
      <c r="P123" s="8" t="s">
        <v>124</v>
      </c>
      <c r="Q123" s="32">
        <f>Q124+Q125+Q126</f>
        <v>100</v>
      </c>
      <c r="R123" s="32">
        <f>R124+R125+R126</f>
        <v>97.45448849478642</v>
      </c>
      <c r="S123" s="32">
        <f>S124+S125+S126</f>
        <v>92.45448849478642</v>
      </c>
      <c r="T123" s="73">
        <v>1</v>
      </c>
    </row>
    <row r="124" spans="1:19" s="16" customFormat="1" ht="16.5" customHeight="1">
      <c r="A124" s="104"/>
      <c r="B124" s="104"/>
      <c r="C124" s="6" t="s">
        <v>69</v>
      </c>
      <c r="D124" s="34">
        <v>508872.9</v>
      </c>
      <c r="E124" s="51">
        <f t="shared" si="14"/>
        <v>466466.82500000007</v>
      </c>
      <c r="F124" s="34">
        <v>479020.3</v>
      </c>
      <c r="G124" s="51">
        <v>519157.5</v>
      </c>
      <c r="H124" s="51">
        <v>228223.5</v>
      </c>
      <c r="I124" s="34">
        <v>470707.4</v>
      </c>
      <c r="J124" s="28">
        <f t="shared" si="19"/>
        <v>90.66755271762423</v>
      </c>
      <c r="K124" s="28">
        <f t="shared" si="15"/>
        <v>206.24843629161768</v>
      </c>
      <c r="L124" s="28">
        <f t="shared" si="18"/>
        <v>8312.899999999965</v>
      </c>
      <c r="M124" s="28">
        <f t="shared" si="20"/>
        <v>92.49999361333646</v>
      </c>
      <c r="N124" s="28">
        <f t="shared" si="17"/>
        <v>98.26460381741651</v>
      </c>
      <c r="O124" s="22">
        <f>N124-100</f>
        <v>-1.7353961825834858</v>
      </c>
      <c r="P124" s="22">
        <f>M124-95</f>
        <v>-2.500006386663543</v>
      </c>
      <c r="Q124" s="22">
        <f>D124/D123*100</f>
        <v>49.089769895728125</v>
      </c>
      <c r="R124" s="22">
        <f>Q124/100*100</f>
        <v>49.089769895728125</v>
      </c>
      <c r="S124" s="22">
        <f>Q124/100*95</f>
        <v>46.63528140094172</v>
      </c>
    </row>
    <row r="125" spans="1:19" s="16" customFormat="1" ht="16.5" customHeight="1">
      <c r="A125" s="104"/>
      <c r="B125" s="104"/>
      <c r="C125" s="6" t="s">
        <v>70</v>
      </c>
      <c r="D125" s="34">
        <v>214630.4</v>
      </c>
      <c r="E125" s="34">
        <v>214630.4</v>
      </c>
      <c r="F125" s="34">
        <v>214630.4</v>
      </c>
      <c r="G125" s="51">
        <v>200937.2</v>
      </c>
      <c r="H125" s="51">
        <f>D125/12*11</f>
        <v>196744.53333333333</v>
      </c>
      <c r="I125" s="34">
        <v>151263.1</v>
      </c>
      <c r="J125" s="28">
        <f t="shared" si="19"/>
        <v>75.27879357331544</v>
      </c>
      <c r="K125" s="28">
        <f t="shared" si="15"/>
        <v>76.88300022228488</v>
      </c>
      <c r="L125" s="28">
        <f t="shared" si="18"/>
        <v>63367.29999999999</v>
      </c>
      <c r="M125" s="28">
        <f t="shared" si="20"/>
        <v>70.47608353709447</v>
      </c>
      <c r="N125" s="28">
        <f t="shared" si="17"/>
        <v>70.47608353709447</v>
      </c>
      <c r="O125" s="22">
        <f>N125-95</f>
        <v>-24.523916462905532</v>
      </c>
      <c r="P125" s="22">
        <f>M125-95</f>
        <v>-24.523916462905532</v>
      </c>
      <c r="Q125" s="22">
        <f>D125/D123*100</f>
        <v>20.704889076679237</v>
      </c>
      <c r="R125" s="22">
        <f>Q125/100*95</f>
        <v>19.669644622845276</v>
      </c>
      <c r="S125" s="22">
        <f>Q125/100*90</f>
        <v>18.634400169011315</v>
      </c>
    </row>
    <row r="126" spans="1:19" s="16" customFormat="1" ht="25.5">
      <c r="A126" s="104"/>
      <c r="B126" s="104"/>
      <c r="C126" s="6" t="s">
        <v>129</v>
      </c>
      <c r="D126" s="34">
        <v>313113.7</v>
      </c>
      <c r="E126" s="51">
        <f t="shared" si="14"/>
        <v>287020.89166666666</v>
      </c>
      <c r="F126" s="34">
        <v>313113.7</v>
      </c>
      <c r="G126" s="51">
        <v>313240.7</v>
      </c>
      <c r="H126" s="51">
        <f>D126/12*11</f>
        <v>287020.89166666666</v>
      </c>
      <c r="I126" s="34">
        <v>131836.5</v>
      </c>
      <c r="J126" s="28">
        <f>I126/G126*100</f>
        <v>42.087921524884855</v>
      </c>
      <c r="K126" s="28">
        <f t="shared" si="15"/>
        <v>45.93271912523673</v>
      </c>
      <c r="L126" s="28">
        <f t="shared" si="18"/>
        <v>181277.2</v>
      </c>
      <c r="M126" s="28">
        <f t="shared" si="20"/>
        <v>42.104992531467</v>
      </c>
      <c r="N126" s="28">
        <f t="shared" si="17"/>
        <v>42.104992531467</v>
      </c>
      <c r="O126" s="22">
        <f>N126-95</f>
        <v>-52.895007468533</v>
      </c>
      <c r="P126" s="22">
        <f>M126-95</f>
        <v>-52.895007468533</v>
      </c>
      <c r="Q126" s="22">
        <f>D126/D123*100</f>
        <v>30.20534102759264</v>
      </c>
      <c r="R126" s="22">
        <f>Q126/100*95</f>
        <v>28.69507397621301</v>
      </c>
      <c r="S126" s="22">
        <f>Q126/100*90</f>
        <v>27.184806924833378</v>
      </c>
    </row>
    <row r="127" spans="1:20" s="16" customFormat="1" ht="35.25" customHeight="1">
      <c r="A127" s="4" t="s">
        <v>54</v>
      </c>
      <c r="B127" s="5" t="s">
        <v>128</v>
      </c>
      <c r="C127" s="5" t="s">
        <v>97</v>
      </c>
      <c r="D127" s="32">
        <f>D128</f>
        <v>60229.6</v>
      </c>
      <c r="E127" s="89">
        <f t="shared" si="14"/>
        <v>55210.46666666667</v>
      </c>
      <c r="F127" s="32">
        <f>F128</f>
        <v>59191.7</v>
      </c>
      <c r="G127" s="89">
        <f>G128</f>
        <v>80429.6</v>
      </c>
      <c r="H127" s="89">
        <f>H128</f>
        <v>39031.8</v>
      </c>
      <c r="I127" s="32">
        <f>I128</f>
        <v>56510.7</v>
      </c>
      <c r="J127" s="31">
        <f>SUM(I127/G127)*100</f>
        <v>70.26107303778707</v>
      </c>
      <c r="K127" s="31">
        <f t="shared" si="15"/>
        <v>144.78117842374678</v>
      </c>
      <c r="L127" s="31">
        <f t="shared" si="18"/>
        <v>2681</v>
      </c>
      <c r="M127" s="31">
        <f t="shared" si="20"/>
        <v>93.82546123500737</v>
      </c>
      <c r="N127" s="31">
        <f t="shared" si="17"/>
        <v>95.47064875649795</v>
      </c>
      <c r="O127" s="8" t="s">
        <v>124</v>
      </c>
      <c r="P127" s="8" t="s">
        <v>124</v>
      </c>
      <c r="Q127" s="32">
        <f>Q128</f>
        <v>100</v>
      </c>
      <c r="R127" s="32">
        <f>R128</f>
        <v>100</v>
      </c>
      <c r="S127" s="32">
        <f>S128</f>
        <v>95</v>
      </c>
      <c r="T127" s="72">
        <v>3</v>
      </c>
    </row>
    <row r="128" spans="1:19" s="16" customFormat="1" ht="17.25" customHeight="1">
      <c r="A128" s="104"/>
      <c r="B128" s="104"/>
      <c r="C128" s="6" t="s">
        <v>69</v>
      </c>
      <c r="D128" s="34">
        <v>60229.6</v>
      </c>
      <c r="E128" s="51">
        <f t="shared" si="14"/>
        <v>55210.46666666667</v>
      </c>
      <c r="F128" s="34">
        <v>59191.7</v>
      </c>
      <c r="G128" s="51">
        <v>80429.6</v>
      </c>
      <c r="H128" s="51">
        <v>39031.8</v>
      </c>
      <c r="I128" s="34">
        <v>56510.7</v>
      </c>
      <c r="J128" s="28">
        <f>SUM(I128/G128)*100</f>
        <v>70.26107303778707</v>
      </c>
      <c r="K128" s="28">
        <f t="shared" si="15"/>
        <v>144.78117842374678</v>
      </c>
      <c r="L128" s="28">
        <f t="shared" si="18"/>
        <v>2681</v>
      </c>
      <c r="M128" s="28">
        <f t="shared" si="20"/>
        <v>93.82546123500737</v>
      </c>
      <c r="N128" s="28">
        <f t="shared" si="17"/>
        <v>95.47064875649795</v>
      </c>
      <c r="O128" s="22">
        <f>N128-100</f>
        <v>-4.529351243502049</v>
      </c>
      <c r="P128" s="22">
        <f>M128-95</f>
        <v>-1.1745387649926329</v>
      </c>
      <c r="Q128" s="22">
        <f>D128/D127*100</f>
        <v>100</v>
      </c>
      <c r="R128" s="22">
        <f>Q128/100*100</f>
        <v>100</v>
      </c>
      <c r="S128" s="22">
        <f>Q128/100*95</f>
        <v>95</v>
      </c>
    </row>
    <row r="129" spans="1:19" s="23" customFormat="1" ht="15.75" customHeight="1">
      <c r="A129" s="105" t="s">
        <v>166</v>
      </c>
      <c r="B129" s="115"/>
      <c r="C129" s="106"/>
      <c r="D129" s="34">
        <f>1803130.1</f>
        <v>1803130.1</v>
      </c>
      <c r="E129" s="34">
        <f>1803130.1</f>
        <v>1803130.1</v>
      </c>
      <c r="F129" s="40" t="s">
        <v>124</v>
      </c>
      <c r="G129" s="40" t="s">
        <v>124</v>
      </c>
      <c r="H129" s="40" t="s">
        <v>124</v>
      </c>
      <c r="I129" s="40" t="s">
        <v>124</v>
      </c>
      <c r="J129" s="40" t="s">
        <v>124</v>
      </c>
      <c r="K129" s="40" t="s">
        <v>124</v>
      </c>
      <c r="L129" s="40" t="s">
        <v>124</v>
      </c>
      <c r="M129" s="40" t="s">
        <v>124</v>
      </c>
      <c r="N129" s="40" t="s">
        <v>124</v>
      </c>
      <c r="O129" s="40" t="s">
        <v>124</v>
      </c>
      <c r="P129" s="40" t="s">
        <v>124</v>
      </c>
      <c r="Q129" s="40" t="s">
        <v>124</v>
      </c>
      <c r="R129" s="40" t="s">
        <v>124</v>
      </c>
      <c r="S129" s="40" t="s">
        <v>124</v>
      </c>
    </row>
    <row r="130" spans="1:19" ht="29.25" customHeight="1">
      <c r="A130" s="116" t="s">
        <v>119</v>
      </c>
      <c r="B130" s="117"/>
      <c r="C130" s="118"/>
      <c r="D130" s="2">
        <f>D5+D8+D10+D14+D20+D23+D25+D28+D33+D37+D41+D46+D49+D52+D55+D58+D61+D64+D67+D70+D74+D78+D81+D84+D86+D88+D92+D95+D97+D99+D101+D103+D105+D107+D109+D113+D117+D119+D121+D123+D127+D129</f>
        <v>24340081.500000004</v>
      </c>
      <c r="E130" s="2">
        <f>E5+E8+E10+E14+E20+E23+E25+E28+E33+E37+E41+E46+E49+E52+E55+E58+E61+E64+E67+E70+E74+E78+E81+E84+E86+E88+E92+E95+E97+E99+E101+E103+E105+E107+E109+E113+E117+E119+E121+E123+E127+E129</f>
        <v>22463708.925000004</v>
      </c>
      <c r="F130" s="2">
        <f>F5+F8+F10+F14+F20+F23+F25+F28+F33+F37+F41+F46+F49+F52+F55+F58+F61+F64+F67+F70+F74+F78+F81+F84+F86+F88+F92+F95+F97+F99+F101+F103+F105+F107+F109+F113+F117+F119+F121+F123+F127</f>
        <v>21693572.899999995</v>
      </c>
      <c r="G130" s="2" t="e">
        <f>G5+G8+G10+G14+G20+G23+G25+G28+G33+G37+G41+G46+G49+G52+G55+G58+G61+G64+G67+G70+G74+G78+G81+G84+G86+G88+G92+G95+G97+G99+G101+G103+G105+G107+G109+G113+G117+G119+G121+G123+G127+G129</f>
        <v>#VALUE!</v>
      </c>
      <c r="H130" s="2" t="e">
        <f>H5+H8+H10+H14+H20+H23+H25+H28+H33+H37+H41+H46+H49+H52+H55+H58+H61+H64+H67+H70+H74+H78+H81+H84+H86+H88+H92+H95+H97+H99+H101+H103+H105+H107+H109+H113+H117+H119+H121+H123+H127+H129</f>
        <v>#VALUE!</v>
      </c>
      <c r="I130" s="2">
        <f>I132+I133+I134+I135</f>
        <v>20038775</v>
      </c>
      <c r="J130" s="29" t="e">
        <f>SUM(I130/G130)*100</f>
        <v>#VALUE!</v>
      </c>
      <c r="K130" s="29" t="e">
        <f t="shared" si="15"/>
        <v>#VALUE!</v>
      </c>
      <c r="L130" s="29">
        <f t="shared" si="18"/>
        <v>1654797.8999999948</v>
      </c>
      <c r="M130" s="29">
        <f>I130/D130*100</f>
        <v>82.32829869530221</v>
      </c>
      <c r="N130" s="29">
        <f t="shared" si="17"/>
        <v>92.3719439502748</v>
      </c>
      <c r="O130" s="59" t="s">
        <v>124</v>
      </c>
      <c r="P130" s="3">
        <f>M130-95</f>
        <v>-12.671701304697791</v>
      </c>
      <c r="Q130" s="59" t="s">
        <v>124</v>
      </c>
      <c r="R130" s="59" t="s">
        <v>124</v>
      </c>
      <c r="S130" s="59" t="s">
        <v>124</v>
      </c>
    </row>
    <row r="131" spans="1:19" ht="15.75" customHeight="1">
      <c r="A131" s="121"/>
      <c r="B131" s="121"/>
      <c r="C131" s="79" t="s">
        <v>114</v>
      </c>
      <c r="D131" s="93"/>
      <c r="E131" s="93"/>
      <c r="F131" s="93"/>
      <c r="G131" s="93"/>
      <c r="H131" s="93"/>
      <c r="I131" s="93"/>
      <c r="J131" s="84"/>
      <c r="K131" s="84"/>
      <c r="L131" s="84"/>
      <c r="M131" s="84"/>
      <c r="N131" s="84"/>
      <c r="O131" s="87"/>
      <c r="P131" s="83"/>
      <c r="Q131" s="63"/>
      <c r="R131" s="63"/>
      <c r="S131" s="71"/>
    </row>
    <row r="132" spans="1:19" ht="17.25" customHeight="1">
      <c r="A132" s="121"/>
      <c r="B132" s="121"/>
      <c r="C132" s="1" t="s">
        <v>69</v>
      </c>
      <c r="D132" s="2">
        <f>D6+D9+D11+D14+D21+D26+D29+D34+D38+D42+D47+D50+D53+D56+D59+D62+D65+D68+D71+D75+D79+D82+D85+D87+D89+D93+D110+D114+D118+D120+D122+D124+D128+D24</f>
        <v>15251506.799999999</v>
      </c>
      <c r="E132" s="92">
        <f>E6+E9+E11+E14+E21+E26+E29+E34+E38+E42+E47+E50+E53+E56+E59+E62+E65+E68+E71+E75+E79+E82+E85+E87+E89+E93+E110+E114+E118+E120+E122+E124+E128+E24</f>
        <v>13980547.900000004</v>
      </c>
      <c r="F132" s="2">
        <f>F6+F9+F11+F14+F21+F26+F29+F34+F38+F42+F47+F50+F53+F56+F59+F62+F65+F68+F71+F75+F79+F82+F85+F87+F89+F93+F110+F114+F118+F120+F122+F124+F128+F24</f>
        <v>14408128.3</v>
      </c>
      <c r="G132" s="92">
        <f>G6+G9+G11+G14+G21+G26+G29+G34+G38+G42+G47+G50+G53+G56+G59+G62+G65+G68+G71+G75+G79+G82+G85+G87+G89+G93+G110+G114+G118+G120+G122+G124+G128+G24</f>
        <v>15316188.8</v>
      </c>
      <c r="H132" s="92">
        <f>H6+H9+H11+H14+H21+H26+H29+H34+H38+H42+H47+H50+H53+H56+H59+H62+H65+H68+H71+H75+H79+H82+H85+H87+H89+H93+H110+H114+H118+H120+H122+H124+H128+H24</f>
        <v>11429025.299999997</v>
      </c>
      <c r="I132" s="2">
        <f>I128+I124+I122+I120+I118+I114+I110+I93+I89+I87+I85+I82+I79+I75+I71+I68+I65+I62+I59+I56+I53+I50+I47+I42+I38+I34+I29+I26+I24+I21+I11+I9+I6+I14</f>
        <v>13960362.9</v>
      </c>
      <c r="J132" s="29">
        <f>SUM(I132/G132)*100</f>
        <v>91.14775929113644</v>
      </c>
      <c r="K132" s="29">
        <f t="shared" si="15"/>
        <v>122.14832440698163</v>
      </c>
      <c r="L132" s="29">
        <f>F132-I132</f>
        <v>447765.4000000004</v>
      </c>
      <c r="M132" s="29">
        <f>I132/D132*100</f>
        <v>91.53431908773763</v>
      </c>
      <c r="N132" s="29">
        <f t="shared" si="17"/>
        <v>96.8922722599576</v>
      </c>
      <c r="O132" s="3">
        <f>N132-100</f>
        <v>-3.1077277400424066</v>
      </c>
      <c r="P132" s="3">
        <f>M132-95</f>
        <v>-3.4656809122623713</v>
      </c>
      <c r="Q132" s="60" t="s">
        <v>124</v>
      </c>
      <c r="R132" s="60" t="s">
        <v>124</v>
      </c>
      <c r="S132" s="60" t="s">
        <v>124</v>
      </c>
    </row>
    <row r="133" spans="1:19" ht="17.25" customHeight="1">
      <c r="A133" s="121"/>
      <c r="B133" s="121"/>
      <c r="C133" s="1" t="s">
        <v>70</v>
      </c>
      <c r="D133" s="2">
        <f>(D12+D30+D43+D48+D51+D54+D57+D60+D63+D66+D69+D83+D90+D94+D96+D98+D100+D102+D104+D106+D108+D111+D125+D76)</f>
        <v>2670843.2000000007</v>
      </c>
      <c r="E133" s="92">
        <f>(E12+E30+E43+E48+E51+E54+E57+E60+E63+E66+E69+E83+E90+E94+E96+E98+E100+E102+E104+E106+E108+E111+E125+E76)</f>
        <v>2658626.608333333</v>
      </c>
      <c r="F133" s="2">
        <f>(F12+F30+F43+F48+F51+F54+F57+F60+F63+F66+F69+F83+F90+F94+F96+F98+F100+F102+F104+F106+F108+F111+F125+F76)</f>
        <v>2670843.2000000007</v>
      </c>
      <c r="G133" s="92">
        <f>(G12+G30+G43+G48+G51+G54+G57+G60+G63+G66+G69+G83+G90+G94+G96+G98+G100+G102+G104+G106+G108+G111+G125+G76)</f>
        <v>2525221.100000001</v>
      </c>
      <c r="H133" s="92">
        <f>(H12+H30+H43+H48+H51+H54+H57+H60+H63+H66+H69+H83+H90+H94+H96+H98+H100+H102+H104+H106+H108+H111+H125+H76)</f>
        <v>2454659.566666666</v>
      </c>
      <c r="I133" s="2">
        <f>I12+I30+I43+I48+I51+I54+I57+I60+I63+I66+I69+I83+I90+I94+I96+I98+I100+I102+I104+I106+I108+I111+I125+I76</f>
        <v>2511938.200000001</v>
      </c>
      <c r="J133" s="29">
        <f>SUM(I133/G133)*100</f>
        <v>99.47399061412881</v>
      </c>
      <c r="K133" s="29">
        <f t="shared" si="15"/>
        <v>102.33346546751969</v>
      </c>
      <c r="L133" s="29">
        <f>F133-I133</f>
        <v>158904.99999999953</v>
      </c>
      <c r="M133" s="29">
        <f>I133/D133*100</f>
        <v>94.05038079360108</v>
      </c>
      <c r="N133" s="29">
        <f t="shared" si="17"/>
        <v>94.05038079360108</v>
      </c>
      <c r="O133" s="3">
        <f>N133-95</f>
        <v>-0.9496192063989213</v>
      </c>
      <c r="P133" s="3">
        <f>M133-95</f>
        <v>-0.9496192063989213</v>
      </c>
      <c r="Q133" s="60" t="s">
        <v>124</v>
      </c>
      <c r="R133" s="60" t="s">
        <v>124</v>
      </c>
      <c r="S133" s="60" t="s">
        <v>124</v>
      </c>
    </row>
    <row r="134" spans="1:19" ht="30" customHeight="1">
      <c r="A134" s="121"/>
      <c r="B134" s="121"/>
      <c r="C134" s="11" t="s">
        <v>129</v>
      </c>
      <c r="D134" s="2">
        <f>(D31+D35+D39+D44+D72+D80+D115+D126+D77)+D129</f>
        <v>5161244.9</v>
      </c>
      <c r="E134" s="92">
        <f>(E31+E35+E39+E44+E72+E80+E115+E126+E77)+E129</f>
        <v>4881402</v>
      </c>
      <c r="F134" s="2">
        <f>(F31+F35+F39+F44+F72+F80+F115+F126+F77)</f>
        <v>3358114.8000000007</v>
      </c>
      <c r="G134" s="92" t="e">
        <f>(G31+G35+G39+G44+G72+G80+G115+G126+G77)+G129</f>
        <v>#VALUE!</v>
      </c>
      <c r="H134" s="92" t="e">
        <f>(H31+H35+H39+H44+H72+H80+H115+H126+H77)+H129</f>
        <v>#VALUE!</v>
      </c>
      <c r="I134" s="2">
        <f>I31+I35+I39+I44+I72+I80+I115+I126+I77</f>
        <v>2404824.2</v>
      </c>
      <c r="J134" s="29" t="e">
        <f>SUM(I134/G134)*100</f>
        <v>#VALUE!</v>
      </c>
      <c r="K134" s="29" t="e">
        <f t="shared" si="15"/>
        <v>#VALUE!</v>
      </c>
      <c r="L134" s="29">
        <f>F134-I134</f>
        <v>953290.6000000006</v>
      </c>
      <c r="M134" s="29">
        <f>I134/D134*100</f>
        <v>46.59387893025576</v>
      </c>
      <c r="N134" s="29">
        <f t="shared" si="17"/>
        <v>71.61232844094549</v>
      </c>
      <c r="O134" s="3">
        <f>N134-95</f>
        <v>-23.38767155905451</v>
      </c>
      <c r="P134" s="3">
        <f>M134-95</f>
        <v>-48.40612106974424</v>
      </c>
      <c r="Q134" s="60" t="s">
        <v>124</v>
      </c>
      <c r="R134" s="60" t="s">
        <v>124</v>
      </c>
      <c r="S134" s="60" t="s">
        <v>124</v>
      </c>
    </row>
    <row r="135" spans="1:19" ht="29.25" customHeight="1">
      <c r="A135" s="121"/>
      <c r="B135" s="121"/>
      <c r="C135" s="1" t="s">
        <v>71</v>
      </c>
      <c r="D135" s="2">
        <f aca="true" t="shared" si="21" ref="D135:I135">D7+D22+D27+D32+D36+D45+D91+D112+D116+D73+D40</f>
        <v>1256486.6000000003</v>
      </c>
      <c r="E135" s="92">
        <f t="shared" si="21"/>
        <v>1256486.6000000003</v>
      </c>
      <c r="F135" s="2">
        <f t="shared" si="21"/>
        <v>1256486.6000000003</v>
      </c>
      <c r="G135" s="92">
        <f t="shared" si="21"/>
        <v>1210087.1</v>
      </c>
      <c r="H135" s="92">
        <f t="shared" si="21"/>
        <v>1139414.7666666668</v>
      </c>
      <c r="I135" s="2">
        <f t="shared" si="21"/>
        <v>1161649.7000000002</v>
      </c>
      <c r="J135" s="29">
        <f>SUM(I135/G135)*100</f>
        <v>95.99719722654676</v>
      </c>
      <c r="K135" s="29">
        <f t="shared" si="15"/>
        <v>101.95143454199574</v>
      </c>
      <c r="L135" s="29">
        <f>F135-I135</f>
        <v>94836.90000000014</v>
      </c>
      <c r="M135" s="29">
        <f>I135/D135*100</f>
        <v>92.45221556680349</v>
      </c>
      <c r="N135" s="29">
        <f t="shared" si="17"/>
        <v>92.45221556680349</v>
      </c>
      <c r="O135" s="3">
        <f>N135-95</f>
        <v>-2.5477844331965116</v>
      </c>
      <c r="P135" s="3">
        <f>M135-95</f>
        <v>-2.5477844331965116</v>
      </c>
      <c r="Q135" s="60" t="s">
        <v>124</v>
      </c>
      <c r="R135" s="60" t="s">
        <v>124</v>
      </c>
      <c r="S135" s="60" t="s">
        <v>124</v>
      </c>
    </row>
    <row r="136" spans="1:19" ht="26.25" customHeight="1">
      <c r="A136" s="122" t="s">
        <v>118</v>
      </c>
      <c r="B136" s="123"/>
      <c r="C136" s="124"/>
      <c r="D136" s="13">
        <f aca="true" t="shared" si="22" ref="D136:I136">D138+D139+D140+D141</f>
        <v>24383082.6</v>
      </c>
      <c r="E136" s="94">
        <f t="shared" si="22"/>
        <v>22820064.208333336</v>
      </c>
      <c r="F136" s="13">
        <f t="shared" si="22"/>
        <v>21736574.000000004</v>
      </c>
      <c r="G136" s="94" t="e">
        <f t="shared" si="22"/>
        <v>#VALUE!</v>
      </c>
      <c r="H136" s="94" t="e">
        <f t="shared" si="22"/>
        <v>#VALUE!</v>
      </c>
      <c r="I136" s="13">
        <f t="shared" si="22"/>
        <v>20065075.3</v>
      </c>
      <c r="J136" s="39" t="e">
        <f>SUM(I136/G136)*100</f>
        <v>#VALUE!</v>
      </c>
      <c r="K136" s="39" t="e">
        <f>I136/H136*100</f>
        <v>#VALUE!</v>
      </c>
      <c r="L136" s="39">
        <f>F136-I136</f>
        <v>1671498.700000003</v>
      </c>
      <c r="M136" s="39">
        <f>I136/D136*100</f>
        <v>82.29097046162653</v>
      </c>
      <c r="N136" s="39">
        <f t="shared" si="17"/>
        <v>92.31020169047798</v>
      </c>
      <c r="O136" s="60" t="s">
        <v>124</v>
      </c>
      <c r="P136" s="48">
        <f>M136-95</f>
        <v>-12.709029538373471</v>
      </c>
      <c r="Q136" s="60" t="s">
        <v>124</v>
      </c>
      <c r="R136" s="60" t="s">
        <v>124</v>
      </c>
      <c r="S136" s="60" t="s">
        <v>124</v>
      </c>
    </row>
    <row r="137" spans="1:19" ht="14.25" customHeight="1">
      <c r="A137" s="101"/>
      <c r="B137" s="101"/>
      <c r="C137" s="80" t="s">
        <v>114</v>
      </c>
      <c r="D137" s="97"/>
      <c r="E137" s="95"/>
      <c r="F137" s="97"/>
      <c r="G137" s="95"/>
      <c r="H137" s="95"/>
      <c r="I137" s="97"/>
      <c r="J137" s="85"/>
      <c r="K137" s="85"/>
      <c r="L137" s="85"/>
      <c r="M137" s="85"/>
      <c r="N137" s="85"/>
      <c r="O137" s="86"/>
      <c r="P137" s="82"/>
      <c r="Q137" s="64"/>
      <c r="R137" s="64"/>
      <c r="S137" s="70"/>
    </row>
    <row r="138" spans="1:19" ht="27" customHeight="1">
      <c r="A138" s="101"/>
      <c r="B138" s="101"/>
      <c r="C138" s="7" t="s">
        <v>130</v>
      </c>
      <c r="D138" s="14">
        <f aca="true" t="shared" si="23" ref="D138:I138">D132+D16+D17+D19+D18</f>
        <v>15294507.899999999</v>
      </c>
      <c r="E138" s="96">
        <f t="shared" si="23"/>
        <v>14023549.000000004</v>
      </c>
      <c r="F138" s="14">
        <f t="shared" si="23"/>
        <v>14451129.4</v>
      </c>
      <c r="G138" s="96">
        <f t="shared" si="23"/>
        <v>15418633.900000002</v>
      </c>
      <c r="H138" s="96">
        <f t="shared" si="23"/>
        <v>11464922.299999997</v>
      </c>
      <c r="I138" s="14">
        <f t="shared" si="23"/>
        <v>13986663.200000001</v>
      </c>
      <c r="J138" s="39">
        <f>SUM(I138/G138)*100</f>
        <v>90.71272650166496</v>
      </c>
      <c r="K138" s="39">
        <f>I138/H138*100</f>
        <v>121.9952724843151</v>
      </c>
      <c r="L138" s="39">
        <f>F138-I138</f>
        <v>464466.19999999925</v>
      </c>
      <c r="M138" s="39">
        <f>I138/D138*100</f>
        <v>91.44892592457978</v>
      </c>
      <c r="N138" s="39">
        <f t="shared" si="17"/>
        <v>96.78595224536568</v>
      </c>
      <c r="O138" s="48">
        <f>N138-100</f>
        <v>-3.214047754634322</v>
      </c>
      <c r="P138" s="48">
        <f>M138-95</f>
        <v>-3.5510740754202175</v>
      </c>
      <c r="Q138" s="60" t="s">
        <v>124</v>
      </c>
      <c r="R138" s="60" t="s">
        <v>124</v>
      </c>
      <c r="S138" s="60" t="s">
        <v>124</v>
      </c>
    </row>
    <row r="139" spans="1:19" ht="18.75" customHeight="1">
      <c r="A139" s="101"/>
      <c r="B139" s="101"/>
      <c r="C139" s="7" t="s">
        <v>70</v>
      </c>
      <c r="D139" s="14">
        <f aca="true" t="shared" si="24" ref="D139:F141">D133</f>
        <v>2670843.2000000007</v>
      </c>
      <c r="E139" s="96">
        <f>E133</f>
        <v>2658626.608333333</v>
      </c>
      <c r="F139" s="14">
        <f t="shared" si="24"/>
        <v>2670843.2000000007</v>
      </c>
      <c r="G139" s="96">
        <f aca="true" t="shared" si="25" ref="G139:I141">G133</f>
        <v>2525221.100000001</v>
      </c>
      <c r="H139" s="96">
        <f t="shared" si="25"/>
        <v>2454659.566666666</v>
      </c>
      <c r="I139" s="14">
        <f t="shared" si="25"/>
        <v>2511938.200000001</v>
      </c>
      <c r="J139" s="39">
        <f>SUM(I139/G139)*100</f>
        <v>99.47399061412881</v>
      </c>
      <c r="K139" s="39">
        <f>I139/H139*100</f>
        <v>102.33346546751969</v>
      </c>
      <c r="L139" s="39">
        <f>F139-I139</f>
        <v>158904.99999999953</v>
      </c>
      <c r="M139" s="39">
        <f>I139/D139*100</f>
        <v>94.05038079360108</v>
      </c>
      <c r="N139" s="39">
        <f t="shared" si="17"/>
        <v>94.05038079360108</v>
      </c>
      <c r="O139" s="48">
        <f>N139-95</f>
        <v>-0.9496192063989213</v>
      </c>
      <c r="P139" s="48">
        <f>M139-95</f>
        <v>-0.9496192063989213</v>
      </c>
      <c r="Q139" s="60" t="s">
        <v>124</v>
      </c>
      <c r="R139" s="60" t="s">
        <v>124</v>
      </c>
      <c r="S139" s="60" t="s">
        <v>124</v>
      </c>
    </row>
    <row r="140" spans="1:19" ht="27" customHeight="1">
      <c r="A140" s="101"/>
      <c r="B140" s="101"/>
      <c r="C140" s="12" t="s">
        <v>129</v>
      </c>
      <c r="D140" s="14">
        <f t="shared" si="24"/>
        <v>5161244.9</v>
      </c>
      <c r="E140" s="96">
        <f>E134</f>
        <v>4881402</v>
      </c>
      <c r="F140" s="14">
        <f t="shared" si="24"/>
        <v>3358114.8000000007</v>
      </c>
      <c r="G140" s="96" t="e">
        <f t="shared" si="25"/>
        <v>#VALUE!</v>
      </c>
      <c r="H140" s="96" t="e">
        <f t="shared" si="25"/>
        <v>#VALUE!</v>
      </c>
      <c r="I140" s="14">
        <f t="shared" si="25"/>
        <v>2404824.2</v>
      </c>
      <c r="J140" s="39" t="e">
        <f>SUM(I140/G140)*100</f>
        <v>#VALUE!</v>
      </c>
      <c r="K140" s="39" t="e">
        <f>I140/H140*100</f>
        <v>#VALUE!</v>
      </c>
      <c r="L140" s="39">
        <f>F140-I140</f>
        <v>953290.6000000006</v>
      </c>
      <c r="M140" s="39">
        <f>I140/D140*100</f>
        <v>46.59387893025576</v>
      </c>
      <c r="N140" s="39">
        <f>I140/F140*100</f>
        <v>71.61232844094549</v>
      </c>
      <c r="O140" s="48">
        <f>N140-95</f>
        <v>-23.38767155905451</v>
      </c>
      <c r="P140" s="48">
        <f>M140-95</f>
        <v>-48.40612106974424</v>
      </c>
      <c r="Q140" s="60" t="s">
        <v>124</v>
      </c>
      <c r="R140" s="60" t="s">
        <v>124</v>
      </c>
      <c r="S140" s="60" t="s">
        <v>124</v>
      </c>
    </row>
    <row r="141" spans="1:19" ht="27" customHeight="1">
      <c r="A141" s="101"/>
      <c r="B141" s="101"/>
      <c r="C141" s="7" t="s">
        <v>71</v>
      </c>
      <c r="D141" s="14">
        <f t="shared" si="24"/>
        <v>1256486.6000000003</v>
      </c>
      <c r="E141" s="96">
        <f>E135</f>
        <v>1256486.6000000003</v>
      </c>
      <c r="F141" s="14">
        <f t="shared" si="24"/>
        <v>1256486.6000000003</v>
      </c>
      <c r="G141" s="96">
        <f t="shared" si="25"/>
        <v>1210087.1</v>
      </c>
      <c r="H141" s="96">
        <f t="shared" si="25"/>
        <v>1139414.7666666668</v>
      </c>
      <c r="I141" s="14">
        <f t="shared" si="25"/>
        <v>1161649.7000000002</v>
      </c>
      <c r="J141" s="39">
        <f>SUM(I141/G141)*100</f>
        <v>95.99719722654676</v>
      </c>
      <c r="K141" s="39">
        <f>I141/H141*100</f>
        <v>101.95143454199574</v>
      </c>
      <c r="L141" s="39">
        <f>F141-I141</f>
        <v>94836.90000000014</v>
      </c>
      <c r="M141" s="39">
        <f>I141/D141*100</f>
        <v>92.45221556680349</v>
      </c>
      <c r="N141" s="39">
        <f>I141/F141*100</f>
        <v>92.45221556680349</v>
      </c>
      <c r="O141" s="48">
        <f>N141-95</f>
        <v>-2.5477844331965116</v>
      </c>
      <c r="P141" s="48">
        <f>M141-95</f>
        <v>-2.5477844331965116</v>
      </c>
      <c r="Q141" s="60" t="s">
        <v>124</v>
      </c>
      <c r="R141" s="60" t="s">
        <v>124</v>
      </c>
      <c r="S141" s="60" t="s">
        <v>124</v>
      </c>
    </row>
    <row r="142" spans="1:19" ht="7.5" customHeight="1">
      <c r="A142" s="43"/>
      <c r="B142" s="9"/>
      <c r="C142" s="9"/>
      <c r="D142" s="10"/>
      <c r="E142" s="10"/>
      <c r="F142" s="10"/>
      <c r="G142" s="9"/>
      <c r="H142" s="27"/>
      <c r="I142" s="27"/>
      <c r="J142" s="9"/>
      <c r="K142" s="9"/>
      <c r="L142" s="9"/>
      <c r="M142" s="9"/>
      <c r="N142" s="9"/>
      <c r="O142" s="9"/>
      <c r="P142" s="9"/>
      <c r="Q142" s="65"/>
      <c r="R142" s="65"/>
      <c r="S142" s="65"/>
    </row>
    <row r="143" spans="1:19" ht="25.5" customHeight="1" hidden="1">
      <c r="A143" s="126" t="s">
        <v>151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</row>
    <row r="144" spans="1:19" ht="25.5" customHeight="1">
      <c r="A144" s="119" t="s">
        <v>163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66"/>
      <c r="R144" s="66"/>
      <c r="S144" s="66"/>
    </row>
    <row r="145" spans="1:19" ht="25.5" customHeight="1" hidden="1">
      <c r="A145" s="99" t="s">
        <v>162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66"/>
      <c r="Q145" s="66"/>
      <c r="R145" s="66"/>
      <c r="S145" s="66"/>
    </row>
    <row r="146" spans="17:19" ht="25.5" customHeight="1">
      <c r="Q146" s="67"/>
      <c r="R146" s="67"/>
      <c r="S146" s="67"/>
    </row>
    <row r="147" spans="1:19" ht="27" customHeight="1" hidden="1">
      <c r="A147" s="128" t="s">
        <v>152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ht="6" customHeight="1">
      <c r="A148" s="56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67"/>
      <c r="R148" s="67"/>
      <c r="S148" s="67"/>
    </row>
    <row r="149" spans="1:19" ht="15" customHeight="1">
      <c r="A149" s="119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57"/>
      <c r="R149" s="57"/>
      <c r="S149" s="57"/>
    </row>
    <row r="150" spans="1:19" ht="15" customHeight="1">
      <c r="A150" s="56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</sheetData>
  <autoFilter ref="A4:P141"/>
  <mergeCells count="53">
    <mergeCell ref="A75:B77"/>
    <mergeCell ref="A137:B141"/>
    <mergeCell ref="A120:B120"/>
    <mergeCell ref="A124:B126"/>
    <mergeCell ref="A128:B128"/>
    <mergeCell ref="A122:B122"/>
    <mergeCell ref="A108:B108"/>
    <mergeCell ref="A110:B112"/>
    <mergeCell ref="A114:B116"/>
    <mergeCell ref="A118:B118"/>
    <mergeCell ref="A149:P149"/>
    <mergeCell ref="A131:B135"/>
    <mergeCell ref="A136:C136"/>
    <mergeCell ref="A144:P144"/>
    <mergeCell ref="A143:S143"/>
    <mergeCell ref="A147:S147"/>
    <mergeCell ref="A145:O145"/>
    <mergeCell ref="A129:C129"/>
    <mergeCell ref="A130:C130"/>
    <mergeCell ref="A100:B100"/>
    <mergeCell ref="A102:B102"/>
    <mergeCell ref="A104:B104"/>
    <mergeCell ref="A106:B106"/>
    <mergeCell ref="A89:B91"/>
    <mergeCell ref="A93:B94"/>
    <mergeCell ref="A96:B96"/>
    <mergeCell ref="A98:B98"/>
    <mergeCell ref="A79:B80"/>
    <mergeCell ref="A82:B83"/>
    <mergeCell ref="A85:B85"/>
    <mergeCell ref="A87:B87"/>
    <mergeCell ref="A71:B73"/>
    <mergeCell ref="A53:B54"/>
    <mergeCell ref="A56:B57"/>
    <mergeCell ref="A59:B60"/>
    <mergeCell ref="A62:B63"/>
    <mergeCell ref="A47:B48"/>
    <mergeCell ref="A50:B51"/>
    <mergeCell ref="A65:B66"/>
    <mergeCell ref="A68:B69"/>
    <mergeCell ref="A34:B36"/>
    <mergeCell ref="A24:B24"/>
    <mergeCell ref="A38:B40"/>
    <mergeCell ref="A42:B45"/>
    <mergeCell ref="A21:B22"/>
    <mergeCell ref="A26:B27"/>
    <mergeCell ref="A2:O2"/>
    <mergeCell ref="A29:B32"/>
    <mergeCell ref="T13:T14"/>
    <mergeCell ref="A6:B7"/>
    <mergeCell ref="A11:B12"/>
    <mergeCell ref="A14:B19"/>
    <mergeCell ref="A9:B9"/>
  </mergeCells>
  <printOptions/>
  <pageMargins left="0.2" right="0.2" top="0.32" bottom="0.25" header="0.32" footer="0.17"/>
  <pageSetup fitToHeight="6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331-3</cp:lastModifiedBy>
  <cp:lastPrinted>2009-01-19T11:13:53Z</cp:lastPrinted>
  <dcterms:created xsi:type="dcterms:W3CDTF">2002-03-11T10:22:12Z</dcterms:created>
  <dcterms:modified xsi:type="dcterms:W3CDTF">2009-01-27T14:36:23Z</dcterms:modified>
  <cp:category/>
  <cp:version/>
  <cp:contentType/>
  <cp:contentStatus/>
</cp:coreProperties>
</file>