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56" windowWidth="15480" windowHeight="9315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источникам'!$A$1:$L$318</definedName>
  </definedNames>
  <calcPr fullCalcOnLoad="1"/>
</workbook>
</file>

<file path=xl/sharedStrings.xml><?xml version="1.0" encoding="utf-8"?>
<sst xmlns="http://schemas.openxmlformats.org/spreadsheetml/2006/main" count="610" uniqueCount="200">
  <si>
    <t>КВСР</t>
  </si>
  <si>
    <t>915</t>
  </si>
  <si>
    <t>920</t>
  </si>
  <si>
    <t>925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</si>
  <si>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</si>
  <si>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</si>
  <si>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</si>
  <si>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</si>
  <si>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</si>
  <si>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</si>
  <si>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</si>
  <si>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</si>
  <si>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</si>
  <si>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</si>
  <si>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</si>
  <si>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</si>
  <si>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</si>
  <si>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</si>
  <si>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</si>
  <si>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</si>
  <si>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</si>
  <si>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942</t>
  </si>
  <si>
    <t>944</t>
  </si>
  <si>
    <t>945</t>
  </si>
  <si>
    <t>951</t>
  </si>
  <si>
    <t>955</t>
  </si>
  <si>
    <t>964</t>
  </si>
  <si>
    <t>965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</si>
  <si>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</si>
  <si>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</si>
  <si>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</si>
  <si>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</si>
  <si>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</si>
  <si>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</si>
  <si>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</si>
  <si>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</si>
  <si>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</si>
  <si>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</si>
  <si>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</si>
  <si>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</si>
  <si>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</si>
  <si>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</si>
  <si>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</si>
  <si>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920 в т.ч.:</t>
  </si>
  <si>
    <t>Итого по КВСР 925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</si>
  <si>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</si>
  <si>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</si>
  <si>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</si>
  <si>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</si>
  <si>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</si>
  <si>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</si>
  <si>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</si>
  <si>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</si>
  <si>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942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</si>
  <si>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</si>
  <si>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</si>
  <si>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</si>
  <si>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</si>
  <si>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</si>
  <si>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</si>
  <si>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</si>
  <si>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</si>
  <si>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</si>
  <si>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</si>
  <si>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</si>
  <si>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</si>
  <si>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</si>
  <si>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</si>
  <si>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</si>
  <si>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</si>
  <si>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</si>
  <si>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</si>
  <si>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</si>
  <si>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</si>
  <si>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</si>
  <si>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Итого по КВСР 926 в т.ч.:</t>
  </si>
  <si>
    <t>926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</si>
  <si>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</si>
  <si>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</si>
  <si>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</si>
  <si>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</si>
  <si>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943</t>
  </si>
  <si>
    <t>Итого по КВСР 943 в т. ч.:</t>
  </si>
  <si>
    <t>расходы, переданные из краевого бюджета на выполнение полномочий городского округа</t>
  </si>
  <si>
    <t>резерв на мероприятия по развитию микрорайонов города Перми</t>
  </si>
  <si>
    <t>резервный фонд администрации города</t>
  </si>
  <si>
    <t>средства на исполнение решений судов, вступивших в законную силу</t>
  </si>
  <si>
    <t>к пояснительной записке</t>
  </si>
  <si>
    <t>%  выполнения годовых  ассигнований</t>
  </si>
  <si>
    <t xml:space="preserve">Нераспределенные МБТ </t>
  </si>
  <si>
    <t xml:space="preserve">расходы местного бюджета 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</si>
  <si>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</si>
  <si>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</si>
  <si>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</si>
  <si>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Управление здравоохранения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</si>
  <si>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</si>
  <si>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</si>
  <si>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</si>
  <si>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промышленной политики, инвестиций и предпринимательства администрации г.Перми</t>
  </si>
  <si>
    <t>Комитет социальной защиты населения администрации г.Перми</t>
  </si>
  <si>
    <t>Департамент общественной безопасности администрации г.Перми</t>
  </si>
  <si>
    <t>Управление по развитию потребительского рынка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</si>
  <si>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</si>
  <si>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</si>
  <si>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</si>
  <si>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</si>
  <si>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</si>
  <si>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</si>
  <si>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</si>
  <si>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</si>
  <si>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</si>
  <si>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</si>
  <si>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</si>
  <si>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</si>
  <si>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</si>
  <si>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Прочие расходы (расх.информационно-аналитического управления по ДЦП Обществ.участие)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</si>
  <si>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</si>
  <si>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</si>
  <si>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</si>
  <si>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</si>
  <si>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</si>
  <si>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</si>
  <si>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</si>
  <si>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</si>
  <si>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</si>
  <si>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</si>
  <si>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</si>
  <si>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</si>
  <si>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</si>
  <si>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</si>
  <si>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</si>
  <si>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средства на повышение ФОТ работников муниц.учреждений города Перми и работников, осуществляющих технич.обеспечение ОМСУ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</si>
  <si>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</si>
  <si>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</si>
  <si>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</si>
  <si>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</si>
  <si>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</si>
  <si>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</si>
  <si>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</si>
  <si>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ВЦП "Переход на электронный документооборот а сфере управления финансами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</si>
  <si>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</si>
  <si>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</si>
  <si>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</si>
  <si>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</si>
  <si>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</si>
  <si>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</si>
  <si>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</si>
  <si>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</si>
  <si>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</si>
  <si>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</si>
  <si>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</si>
  <si>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</si>
  <si>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(отраслевые расходы, инвестиц.проекты)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</si>
  <si>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</si>
  <si>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</si>
  <si>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</si>
  <si>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</si>
  <si>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</si>
  <si>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</si>
  <si>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</si>
  <si>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</si>
  <si>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</si>
  <si>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</si>
  <si>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(расх.департамента общественной безопасности по созданию и содержанию в целях гражданской обороны резерва медицинских ресурсов)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</si>
  <si>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</si>
  <si>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</si>
  <si>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</si>
  <si>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</si>
  <si>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</si>
  <si>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</si>
  <si>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</si>
  <si>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Городское хозяйство (мероприятия в области жилищного хозяйства)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</si>
  <si>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</si>
  <si>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</si>
  <si>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жилищного хозяйства, в т.ч.по ликвидации несанкционированных свалок)</t>
  </si>
  <si>
    <t>ФЦБ Городское хозяйство (меропр.в области коммунального хозяйства, реконструкция, строительство объектов)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</si>
  <si>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</si>
  <si>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</si>
  <si>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</si>
  <si>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Городское хозяйство (расх.в области жилищных отношений - меры соц.поддержки гражданам, прожив.в непригодном для прожив-я и авар.жилищном фонде)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</si>
  <si>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</si>
  <si>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Кассовый расход на 01.11.2012</t>
  </si>
  <si>
    <t>сумма принятых бюджетных обязательств по состоянию на 01.11.2012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</si>
  <si>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</si>
  <si>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</si>
  <si>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</si>
  <si>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</si>
  <si>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</si>
  <si>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Кассовый план января-октября 2012 года</t>
  </si>
  <si>
    <t>%  выполнения кассового плана января-октября 2012 года</t>
  </si>
  <si>
    <t>Ассигнования 2012 года</t>
  </si>
  <si>
    <t>Комитет по культуре администрации г. Перми*</t>
  </si>
  <si>
    <t>Комитет по молодежной политике администарции г.Перми*</t>
  </si>
  <si>
    <t>Управление жилищно-коммунального хозяйства администрации г.Перми*</t>
  </si>
  <si>
    <t>Управление развития коммунальной инфраструктуры администрации г.Перми*</t>
  </si>
  <si>
    <t xml:space="preserve"> * - по четырём ГРБС города (комитет по культуре, комитет по молодёжной политике, управление жилищно-коммунального хозяйства и управление развития коммунальной инфраструктуры) в связи с их реорганизацией в таблице кассовые расходы не отражены, данные по ассигнованиям и кассовому плану января-октября 2012 года отражены двойные.</t>
  </si>
  <si>
    <t>Отклонение от установленного уровня выполнения плана (95%)*</t>
  </si>
  <si>
    <t xml:space="preserve"> * -   расчётный уровень установлен исходя из 95,0 % исполнения кассового плана по расходам за январь-октябрь 2012 года.</t>
  </si>
  <si>
    <t>Приложение 2</t>
  </si>
  <si>
    <t xml:space="preserve">Оперативный анализ исполнения бюджета города Перми по расходам на 1 ноября 2012 года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</si>
</sst>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0.000%"/>
    <numFmt numFmtId="179" formatCode="0.0000%"/>
    <numFmt numFmtId="180" formatCode="0.00000%"/>
    <numFmt numFmtId="181" formatCode="_-* #,##0.000&quot;р.&quot;_-;\-* #,##0.000&quot;р.&quot;_-;_-* &quot;-&quot;??&quot;р.&quot;_-;_-@_-"/>
    <numFmt numFmtId="182" formatCode="_-* #,##0.0000&quot;р.&quot;_-;\-* #,##0.0000&quot;р.&quot;_-;_-* &quot;-&quot;??&quot;р.&quot;_-;_-@_-"/>
    <numFmt numFmtId="183" formatCode="#,##0.00_ ;\-#,##0.00\ "/>
    <numFmt numFmtId="184" formatCode="#,##0.000_ ;\-#,##0.000\ "/>
    <numFmt numFmtId="185" formatCode="#,##0.0_ ;\-#,##0.0\ "/>
    <numFmt numFmtId="186" formatCode="0.0%"/>
    <numFmt numFmtId="187" formatCode="_-* #,##0.0&quot;р.&quot;_-;\-* #,##0.0&quot;р.&quot;_-;_-* &quot;-&quot;??&quot;р.&quot;_-;_-@_-"/>
    <numFmt numFmtId="188" formatCode="_-* #,##0.00[$р.-419]_-;\-* #,##0.00[$р.-419]_-;_-* &quot;-&quot;??[$р.-419]_-;_-@_-"/>
    <numFmt numFmtId="189" formatCode="_-* #,##0.0[$р.-419]_-;\-* #,##0.0[$р.-419]_-;_-* &quot;-&quot;??[$р.-419]_-;_-@_-"/>
    <numFmt numFmtId="190" formatCode="_-* #,##0[$р.-419]_-;\-* #,##0[$р.-419]_-;_-* &quot;-&quot;??[$р.-419]_-;_-@_-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"/>
      <family val="2"/>
    </font>
    <font>
      <sz val="10"/>
      <color indexed="49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60"/>
      <name val="Arial"/>
      <family val="2"/>
    </font>
    <font>
      <sz val="10"/>
      <color indexed="36"/>
      <name val="Times New Roman"/>
      <family val="1"/>
    </font>
    <font>
      <b/>
      <sz val="10"/>
      <color indexed="56"/>
      <name val="Times New Roman"/>
      <family val="1"/>
    </font>
    <font>
      <b/>
      <i/>
      <sz val="10"/>
      <color indexed="56"/>
      <name val="Times New Roman"/>
      <family val="1"/>
    </font>
    <font>
      <sz val="10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8" tint="-0.24997000396251678"/>
      <name val="Arial"/>
      <family val="2"/>
    </font>
    <font>
      <sz val="10"/>
      <color theme="8" tint="-0.24997000396251678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C00000"/>
      <name val="Times New Roman"/>
      <family val="1"/>
    </font>
    <font>
      <sz val="10"/>
      <color rgb="FFC00000"/>
      <name val="Arial"/>
      <family val="2"/>
    </font>
    <font>
      <sz val="10"/>
      <color rgb="FFC00000"/>
      <name val="Times New Roman"/>
      <family val="1"/>
    </font>
    <font>
      <b/>
      <sz val="10"/>
      <color rgb="FFC00000"/>
      <name val="Arial"/>
      <family val="2"/>
    </font>
    <font>
      <sz val="10"/>
      <color rgb="FF7030A0"/>
      <name val="Times New Roman"/>
      <family val="1"/>
    </font>
    <font>
      <b/>
      <sz val="10"/>
      <color rgb="FF002060"/>
      <name val="Times New Roman"/>
      <family val="1"/>
    </font>
    <font>
      <b/>
      <i/>
      <sz val="10"/>
      <color rgb="FF002060"/>
      <name val="Times New Roman"/>
      <family val="1"/>
    </font>
    <font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6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10" fontId="13" fillId="33" borderId="0" xfId="0" applyNumberFormat="1" applyFont="1" applyFill="1" applyAlignment="1">
      <alignment/>
    </xf>
    <xf numFmtId="10" fontId="4" fillId="33" borderId="11" xfId="0" applyNumberFormat="1" applyFont="1" applyFill="1" applyBorder="1" applyAlignment="1">
      <alignment horizontal="left"/>
    </xf>
    <xf numFmtId="171" fontId="3" fillId="0" borderId="1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0" fillId="33" borderId="0" xfId="0" applyFont="1" applyFill="1" applyBorder="1" applyAlignment="1" applyProtection="1">
      <alignment/>
      <protection/>
    </xf>
    <xf numFmtId="10" fontId="13" fillId="33" borderId="0" xfId="0" applyNumberFormat="1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0" fontId="13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171" fontId="3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171" fontId="3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 applyAlignment="1" applyProtection="1">
      <alignment/>
      <protection/>
    </xf>
    <xf numFmtId="171" fontId="4" fillId="34" borderId="10" xfId="0" applyNumberFormat="1" applyFont="1" applyFill="1" applyBorder="1" applyAlignment="1">
      <alignment horizontal="center" vertical="center"/>
    </xf>
    <xf numFmtId="49" fontId="4" fillId="34" borderId="19" xfId="0" applyNumberFormat="1" applyFont="1" applyFill="1" applyBorder="1" applyAlignment="1">
      <alignment horizontal="left" vertical="center" wrapText="1"/>
    </xf>
    <xf numFmtId="171" fontId="0" fillId="34" borderId="2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171" fontId="4" fillId="34" borderId="10" xfId="0" applyNumberFormat="1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horizontal="left" vertical="center" wrapText="1"/>
    </xf>
    <xf numFmtId="171" fontId="7" fillId="34" borderId="10" xfId="0" applyNumberFormat="1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left"/>
    </xf>
    <xf numFmtId="171" fontId="13" fillId="34" borderId="20" xfId="0" applyNumberFormat="1" applyFont="1" applyFill="1" applyBorder="1" applyAlignment="1">
      <alignment horizontal="left"/>
    </xf>
    <xf numFmtId="49" fontId="7" fillId="34" borderId="10" xfId="0" applyNumberFormat="1" applyFont="1" applyFill="1" applyBorder="1" applyAlignment="1">
      <alignment horizontal="left" vertical="center" wrapText="1"/>
    </xf>
    <xf numFmtId="171" fontId="7" fillId="34" borderId="10" xfId="0" applyNumberFormat="1" applyFont="1" applyFill="1" applyBorder="1" applyAlignment="1">
      <alignment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171" fontId="3" fillId="0" borderId="10" xfId="0" applyNumberFormat="1" applyFont="1" applyFill="1" applyBorder="1" applyAlignment="1">
      <alignment vertical="center" wrapText="1"/>
    </xf>
    <xf numFmtId="171" fontId="4" fillId="0" borderId="10" xfId="0" applyNumberFormat="1" applyFont="1" applyFill="1" applyBorder="1" applyAlignment="1">
      <alignment vertical="center" wrapText="1"/>
    </xf>
    <xf numFmtId="10" fontId="4" fillId="0" borderId="10" xfId="0" applyNumberFormat="1" applyFont="1" applyFill="1" applyBorder="1" applyAlignment="1">
      <alignment vertical="center" wrapText="1"/>
    </xf>
    <xf numFmtId="171" fontId="4" fillId="34" borderId="10" xfId="0" applyNumberFormat="1" applyFont="1" applyFill="1" applyBorder="1" applyAlignment="1">
      <alignment vertical="center" wrapText="1"/>
    </xf>
    <xf numFmtId="10" fontId="4" fillId="34" borderId="10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171" fontId="0" fillId="34" borderId="21" xfId="0" applyNumberFormat="1" applyFont="1" applyFill="1" applyBorder="1" applyAlignment="1">
      <alignment horizontal="left" vertical="center" wrapText="1"/>
    </xf>
    <xf numFmtId="171" fontId="8" fillId="0" borderId="10" xfId="0" applyNumberFormat="1" applyFont="1" applyFill="1" applyBorder="1" applyAlignment="1">
      <alignment vertical="center" wrapText="1"/>
    </xf>
    <xf numFmtId="10" fontId="13" fillId="34" borderId="21" xfId="0" applyNumberFormat="1" applyFont="1" applyFill="1" applyBorder="1" applyAlignment="1">
      <alignment horizontal="left" vertical="center" wrapText="1"/>
    </xf>
    <xf numFmtId="10" fontId="7" fillId="34" borderId="10" xfId="0" applyNumberFormat="1" applyFont="1" applyFill="1" applyBorder="1" applyAlignment="1">
      <alignment vertical="center" wrapText="1"/>
    </xf>
    <xf numFmtId="10" fontId="13" fillId="34" borderId="21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49" fontId="3" fillId="34" borderId="20" xfId="0" applyNumberFormat="1" applyFont="1" applyFill="1" applyBorder="1" applyAlignment="1">
      <alignment horizontal="left" vertical="center" wrapText="1"/>
    </xf>
    <xf numFmtId="10" fontId="3" fillId="0" borderId="10" xfId="0" applyNumberFormat="1" applyFont="1" applyFill="1" applyBorder="1" applyAlignment="1">
      <alignment vertical="center" wrapText="1"/>
    </xf>
    <xf numFmtId="171" fontId="7" fillId="34" borderId="10" xfId="0" applyNumberFormat="1" applyFont="1" applyFill="1" applyBorder="1" applyAlignment="1">
      <alignment vertical="center" wrapText="1"/>
    </xf>
    <xf numFmtId="171" fontId="13" fillId="34" borderId="21" xfId="0" applyNumberFormat="1" applyFont="1" applyFill="1" applyBorder="1" applyAlignment="1">
      <alignment horizontal="left"/>
    </xf>
    <xf numFmtId="171" fontId="15" fillId="0" borderId="10" xfId="0" applyNumberFormat="1" applyFont="1" applyFill="1" applyBorder="1" applyAlignment="1">
      <alignment horizontal="center" vertical="center" wrapText="1"/>
    </xf>
    <xf numFmtId="171" fontId="15" fillId="0" borderId="10" xfId="0" applyNumberFormat="1" applyFont="1" applyFill="1" applyBorder="1" applyAlignment="1">
      <alignment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/>
    </xf>
    <xf numFmtId="49" fontId="14" fillId="0" borderId="20" xfId="0" applyNumberFormat="1" applyFont="1" applyFill="1" applyBorder="1" applyAlignment="1">
      <alignment horizontal="left" vertical="center" wrapText="1"/>
    </xf>
    <xf numFmtId="0" fontId="16" fillId="33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/>
    </xf>
    <xf numFmtId="49" fontId="17" fillId="0" borderId="14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49" fontId="3" fillId="0" borderId="1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166" fontId="14" fillId="0" borderId="0" xfId="0" applyNumberFormat="1" applyFont="1" applyFill="1" applyAlignment="1">
      <alignment/>
    </xf>
    <xf numFmtId="0" fontId="14" fillId="0" borderId="11" xfId="0" applyFont="1" applyFill="1" applyBorder="1" applyAlignment="1">
      <alignment horizontal="left"/>
    </xf>
    <xf numFmtId="0" fontId="16" fillId="0" borderId="0" xfId="0" applyFont="1" applyFill="1" applyBorder="1" applyAlignment="1" applyProtection="1">
      <alignment/>
      <protection/>
    </xf>
    <xf numFmtId="10" fontId="8" fillId="0" borderId="10" xfId="0" applyNumberFormat="1" applyFont="1" applyFill="1" applyBorder="1" applyAlignment="1">
      <alignment vertical="center" wrapText="1"/>
    </xf>
    <xf numFmtId="171" fontId="15" fillId="34" borderId="10" xfId="0" applyNumberFormat="1" applyFont="1" applyFill="1" applyBorder="1" applyAlignment="1">
      <alignment vertical="center" wrapText="1"/>
    </xf>
    <xf numFmtId="171" fontId="3" fillId="0" borderId="10" xfId="0" applyNumberFormat="1" applyFont="1" applyFill="1" applyBorder="1" applyAlignment="1">
      <alignment horizontal="right" vertical="center" wrapText="1" indent="1"/>
    </xf>
    <xf numFmtId="171" fontId="3" fillId="0" borderId="10" xfId="60" applyNumberFormat="1" applyFont="1" applyFill="1" applyBorder="1" applyAlignment="1">
      <alignment horizontal="right" vertical="center" wrapText="1" indent="1"/>
    </xf>
    <xf numFmtId="171" fontId="4" fillId="34" borderId="10" xfId="0" applyNumberFormat="1" applyFont="1" applyFill="1" applyBorder="1" applyAlignment="1">
      <alignment horizontal="right" vertical="center" wrapText="1"/>
    </xf>
    <xf numFmtId="171" fontId="7" fillId="34" borderId="10" xfId="0" applyNumberFormat="1" applyFont="1" applyFill="1" applyBorder="1" applyAlignment="1">
      <alignment horizontal="right" vertical="center"/>
    </xf>
    <xf numFmtId="171" fontId="0" fillId="34" borderId="21" xfId="0" applyNumberFormat="1" applyFont="1" applyFill="1" applyBorder="1" applyAlignment="1">
      <alignment horizontal="left"/>
    </xf>
    <xf numFmtId="171" fontId="7" fillId="34" borderId="10" xfId="0" applyNumberFormat="1" applyFont="1" applyFill="1" applyBorder="1" applyAlignment="1">
      <alignment horizontal="right" vertical="center" wrapText="1"/>
    </xf>
    <xf numFmtId="171" fontId="4" fillId="0" borderId="10" xfId="0" applyNumberFormat="1" applyFont="1" applyFill="1" applyBorder="1" applyAlignment="1">
      <alignment horizontal="right" vertical="center" wrapText="1" indent="1"/>
    </xf>
    <xf numFmtId="171" fontId="3" fillId="0" borderId="10" xfId="43" applyNumberFormat="1" applyFont="1" applyFill="1" applyBorder="1" applyAlignment="1">
      <alignment horizontal="right" vertical="center" wrapText="1" indent="1"/>
    </xf>
    <xf numFmtId="171" fontId="4" fillId="0" borderId="10" xfId="43" applyNumberFormat="1" applyFont="1" applyFill="1" applyBorder="1" applyAlignment="1">
      <alignment horizontal="right" vertical="center" wrapText="1" indent="1"/>
    </xf>
    <xf numFmtId="170" fontId="16" fillId="34" borderId="21" xfId="0" applyNumberFormat="1" applyFont="1" applyFill="1" applyBorder="1" applyAlignment="1">
      <alignment horizontal="left" vertical="center" wrapText="1"/>
    </xf>
    <xf numFmtId="170" fontId="16" fillId="34" borderId="21" xfId="0" applyNumberFormat="1" applyFont="1" applyFill="1" applyBorder="1" applyAlignment="1">
      <alignment horizontal="left"/>
    </xf>
    <xf numFmtId="171" fontId="3" fillId="34" borderId="10" xfId="0" applyNumberFormat="1" applyFont="1" applyFill="1" applyBorder="1" applyAlignment="1">
      <alignment horizontal="right" vertical="center" wrapText="1" indent="1"/>
    </xf>
    <xf numFmtId="171" fontId="3" fillId="34" borderId="10" xfId="0" applyNumberFormat="1" applyFont="1" applyFill="1" applyBorder="1" applyAlignment="1">
      <alignment vertical="center" wrapText="1"/>
    </xf>
    <xf numFmtId="10" fontId="3" fillId="34" borderId="10" xfId="0" applyNumberFormat="1" applyFont="1" applyFill="1" applyBorder="1" applyAlignment="1">
      <alignment vertical="center" wrapText="1"/>
    </xf>
    <xf numFmtId="171" fontId="3" fillId="34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/>
    </xf>
    <xf numFmtId="49" fontId="14" fillId="0" borderId="2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/>
    </xf>
    <xf numFmtId="0" fontId="16" fillId="33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right" vertical="center"/>
    </xf>
    <xf numFmtId="171" fontId="3" fillId="0" borderId="10" xfId="0" applyNumberFormat="1" applyFont="1" applyFill="1" applyBorder="1" applyAlignment="1">
      <alignment horizontal="righ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171" fontId="3" fillId="0" borderId="10" xfId="6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71" fontId="61" fillId="0" borderId="1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62" fillId="0" borderId="0" xfId="0" applyFont="1" applyFill="1" applyAlignment="1">
      <alignment/>
    </xf>
    <xf numFmtId="171" fontId="63" fillId="0" borderId="0" xfId="0" applyNumberFormat="1" applyFont="1" applyFill="1" applyAlignment="1">
      <alignment horizontal="right"/>
    </xf>
    <xf numFmtId="170" fontId="62" fillId="34" borderId="21" xfId="0" applyNumberFormat="1" applyFont="1" applyFill="1" applyBorder="1" applyAlignment="1">
      <alignment horizontal="left" vertical="center" wrapText="1"/>
    </xf>
    <xf numFmtId="0" fontId="63" fillId="33" borderId="11" xfId="0" applyFont="1" applyFill="1" applyBorder="1" applyAlignment="1">
      <alignment horizontal="left"/>
    </xf>
    <xf numFmtId="0" fontId="62" fillId="33" borderId="0" xfId="0" applyFont="1" applyFill="1" applyBorder="1" applyAlignment="1" applyProtection="1">
      <alignment/>
      <protection/>
    </xf>
    <xf numFmtId="0" fontId="62" fillId="33" borderId="0" xfId="0" applyFont="1" applyFill="1" applyAlignment="1">
      <alignment/>
    </xf>
    <xf numFmtId="170" fontId="0" fillId="34" borderId="21" xfId="0" applyNumberFormat="1" applyFont="1" applyFill="1" applyBorder="1" applyAlignment="1">
      <alignment horizontal="left"/>
    </xf>
    <xf numFmtId="170" fontId="3" fillId="0" borderId="10" xfId="0" applyNumberFormat="1" applyFont="1" applyFill="1" applyBorder="1" applyAlignment="1">
      <alignment vertical="center" wrapText="1"/>
    </xf>
    <xf numFmtId="171" fontId="61" fillId="0" borderId="10" xfId="0" applyNumberFormat="1" applyFont="1" applyFill="1" applyBorder="1" applyAlignment="1">
      <alignment horizontal="right" vertical="center" wrapText="1" indent="1"/>
    </xf>
    <xf numFmtId="171" fontId="64" fillId="0" borderId="10" xfId="0" applyNumberFormat="1" applyFont="1" applyFill="1" applyBorder="1" applyAlignment="1">
      <alignment vertical="center" wrapText="1"/>
    </xf>
    <xf numFmtId="171" fontId="61" fillId="0" borderId="10" xfId="0" applyNumberFormat="1" applyFont="1" applyFill="1" applyBorder="1" applyAlignment="1">
      <alignment vertical="center" wrapText="1"/>
    </xf>
    <xf numFmtId="10" fontId="64" fillId="0" borderId="10" xfId="0" applyNumberFormat="1" applyFont="1" applyFill="1" applyBorder="1" applyAlignment="1">
      <alignment vertical="center" wrapText="1"/>
    </xf>
    <xf numFmtId="171" fontId="61" fillId="0" borderId="10" xfId="0" applyNumberFormat="1" applyFont="1" applyFill="1" applyBorder="1" applyAlignment="1">
      <alignment vertical="center"/>
    </xf>
    <xf numFmtId="171" fontId="61" fillId="0" borderId="10" xfId="0" applyNumberFormat="1" applyFont="1" applyFill="1" applyBorder="1" applyAlignment="1">
      <alignment horizontal="right" vertical="center" wrapText="1"/>
    </xf>
    <xf numFmtId="4" fontId="64" fillId="0" borderId="10" xfId="0" applyNumberFormat="1" applyFont="1" applyFill="1" applyBorder="1" applyAlignment="1">
      <alignment vertical="center" wrapText="1"/>
    </xf>
    <xf numFmtId="4" fontId="61" fillId="0" borderId="10" xfId="0" applyNumberFormat="1" applyFont="1" applyFill="1" applyBorder="1" applyAlignment="1">
      <alignment horizontal="right" vertical="center" wrapText="1" indent="1"/>
    </xf>
    <xf numFmtId="171" fontId="61" fillId="0" borderId="10" xfId="43" applyNumberFormat="1" applyFont="1" applyFill="1" applyBorder="1" applyAlignment="1">
      <alignment horizontal="right" vertical="center" wrapText="1" indent="1"/>
    </xf>
    <xf numFmtId="170" fontId="61" fillId="0" borderId="10" xfId="0" applyNumberFormat="1" applyFont="1" applyFill="1" applyBorder="1" applyAlignment="1">
      <alignment horizontal="right" vertical="center" wrapText="1"/>
    </xf>
    <xf numFmtId="171" fontId="61" fillId="0" borderId="10" xfId="0" applyNumberFormat="1" applyFont="1" applyFill="1" applyBorder="1" applyAlignment="1" quotePrefix="1">
      <alignment horizontal="right" vertical="center" wrapText="1"/>
    </xf>
    <xf numFmtId="4" fontId="61" fillId="0" borderId="10" xfId="0" applyNumberFormat="1" applyFont="1" applyFill="1" applyBorder="1" applyAlignment="1">
      <alignment horizontal="right" vertical="center" wrapText="1"/>
    </xf>
    <xf numFmtId="171" fontId="8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indent="1"/>
    </xf>
    <xf numFmtId="171" fontId="11" fillId="0" borderId="10" xfId="0" applyNumberFormat="1" applyFont="1" applyFill="1" applyBorder="1" applyAlignment="1">
      <alignment horizontal="right" vertical="center" wrapText="1" indent="1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71" fontId="3" fillId="33" borderId="0" xfId="0" applyNumberFormat="1" applyFont="1" applyFill="1" applyBorder="1" applyAlignment="1">
      <alignment horizontal="left"/>
    </xf>
    <xf numFmtId="0" fontId="6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10" fontId="4" fillId="33" borderId="0" xfId="0" applyNumberFormat="1" applyFont="1" applyFill="1" applyBorder="1" applyAlignment="1">
      <alignment horizontal="left"/>
    </xf>
    <xf numFmtId="171" fontId="4" fillId="0" borderId="10" xfId="0" applyNumberFormat="1" applyFont="1" applyFill="1" applyBorder="1" applyAlignment="1">
      <alignment horizontal="right" vertical="center" indent="1"/>
    </xf>
    <xf numFmtId="49" fontId="65" fillId="0" borderId="22" xfId="0" applyNumberFormat="1" applyFont="1" applyFill="1" applyBorder="1" applyAlignment="1">
      <alignment horizontal="center" vertical="center" wrapText="1"/>
    </xf>
    <xf numFmtId="49" fontId="65" fillId="0" borderId="22" xfId="0" applyNumberFormat="1" applyFont="1" applyFill="1" applyBorder="1" applyAlignment="1">
      <alignment horizontal="left" vertical="center" wrapText="1"/>
    </xf>
    <xf numFmtId="49" fontId="65" fillId="0" borderId="10" xfId="0" applyNumberFormat="1" applyFont="1" applyFill="1" applyBorder="1" applyAlignment="1">
      <alignment horizontal="left" vertical="center" wrapText="1"/>
    </xf>
    <xf numFmtId="171" fontId="65" fillId="0" borderId="10" xfId="0" applyNumberFormat="1" applyFont="1" applyFill="1" applyBorder="1" applyAlignment="1">
      <alignment horizontal="right" vertical="center" wrapText="1" indent="1"/>
    </xf>
    <xf numFmtId="171" fontId="65" fillId="0" borderId="10" xfId="0" applyNumberFormat="1" applyFont="1" applyFill="1" applyBorder="1" applyAlignment="1">
      <alignment vertical="center" wrapText="1"/>
    </xf>
    <xf numFmtId="10" fontId="65" fillId="0" borderId="10" xfId="0" applyNumberFormat="1" applyFont="1" applyFill="1" applyBorder="1" applyAlignment="1">
      <alignment vertical="center" wrapText="1"/>
    </xf>
    <xf numFmtId="171" fontId="65" fillId="0" borderId="10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/>
    </xf>
    <xf numFmtId="49" fontId="67" fillId="0" borderId="20" xfId="0" applyNumberFormat="1" applyFont="1" applyFill="1" applyBorder="1" applyAlignment="1">
      <alignment horizontal="left" vertical="center" wrapText="1"/>
    </xf>
    <xf numFmtId="171" fontId="67" fillId="0" borderId="10" xfId="0" applyNumberFormat="1" applyFont="1" applyFill="1" applyBorder="1" applyAlignment="1">
      <alignment horizontal="right" vertical="center" wrapText="1" indent="1"/>
    </xf>
    <xf numFmtId="171" fontId="67" fillId="0" borderId="10" xfId="0" applyNumberFormat="1" applyFont="1" applyFill="1" applyBorder="1" applyAlignment="1">
      <alignment vertical="center" wrapText="1"/>
    </xf>
    <xf numFmtId="10" fontId="67" fillId="0" borderId="10" xfId="0" applyNumberFormat="1" applyFont="1" applyFill="1" applyBorder="1" applyAlignment="1">
      <alignment vertical="center" wrapText="1"/>
    </xf>
    <xf numFmtId="171" fontId="67" fillId="0" borderId="10" xfId="0" applyNumberFormat="1" applyFont="1" applyFill="1" applyBorder="1" applyAlignment="1">
      <alignment vertical="center"/>
    </xf>
    <xf numFmtId="0" fontId="68" fillId="0" borderId="0" xfId="0" applyFont="1" applyFill="1" applyAlignment="1">
      <alignment/>
    </xf>
    <xf numFmtId="49" fontId="65" fillId="0" borderId="10" xfId="0" applyNumberFormat="1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0" fontId="67" fillId="33" borderId="0" xfId="0" applyFont="1" applyFill="1" applyAlignment="1">
      <alignment/>
    </xf>
    <xf numFmtId="49" fontId="65" fillId="0" borderId="18" xfId="0" applyNumberFormat="1" applyFont="1" applyFill="1" applyBorder="1" applyAlignment="1">
      <alignment horizontal="center" vertical="center" wrapText="1"/>
    </xf>
    <xf numFmtId="49" fontId="65" fillId="0" borderId="18" xfId="0" applyNumberFormat="1" applyFont="1" applyFill="1" applyBorder="1" applyAlignment="1">
      <alignment horizontal="left" vertical="center" wrapText="1"/>
    </xf>
    <xf numFmtId="49" fontId="65" fillId="0" borderId="12" xfId="0" applyNumberFormat="1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/>
    </xf>
    <xf numFmtId="49" fontId="67" fillId="0" borderId="10" xfId="0" applyNumberFormat="1" applyFont="1" applyFill="1" applyBorder="1" applyAlignment="1">
      <alignment horizontal="left" vertical="center" wrapText="1"/>
    </xf>
    <xf numFmtId="0" fontId="66" fillId="0" borderId="22" xfId="0" applyFont="1" applyFill="1" applyBorder="1" applyAlignment="1">
      <alignment/>
    </xf>
    <xf numFmtId="49" fontId="67" fillId="0" borderId="22" xfId="0" applyNumberFormat="1" applyFont="1" applyFill="1" applyBorder="1" applyAlignment="1">
      <alignment horizontal="left" vertical="center" wrapText="1"/>
    </xf>
    <xf numFmtId="171" fontId="67" fillId="0" borderId="22" xfId="0" applyNumberFormat="1" applyFont="1" applyFill="1" applyBorder="1" applyAlignment="1">
      <alignment vertical="center" wrapText="1"/>
    </xf>
    <xf numFmtId="10" fontId="65" fillId="0" borderId="22" xfId="0" applyNumberFormat="1" applyFont="1" applyFill="1" applyBorder="1" applyAlignment="1">
      <alignment vertical="center" wrapText="1"/>
    </xf>
    <xf numFmtId="171" fontId="67" fillId="0" borderId="22" xfId="0" applyNumberFormat="1" applyFont="1" applyFill="1" applyBorder="1" applyAlignment="1">
      <alignment vertical="center"/>
    </xf>
    <xf numFmtId="0" fontId="66" fillId="33" borderId="0" xfId="0" applyFont="1" applyFill="1" applyAlignment="1">
      <alignment/>
    </xf>
    <xf numFmtId="0" fontId="66" fillId="0" borderId="10" xfId="0" applyFont="1" applyFill="1" applyBorder="1" applyAlignment="1">
      <alignment/>
    </xf>
    <xf numFmtId="0" fontId="67" fillId="0" borderId="16" xfId="0" applyFont="1" applyFill="1" applyBorder="1" applyAlignment="1">
      <alignment/>
    </xf>
    <xf numFmtId="0" fontId="66" fillId="0" borderId="17" xfId="0" applyFont="1" applyFill="1" applyBorder="1" applyAlignment="1">
      <alignment/>
    </xf>
    <xf numFmtId="49" fontId="67" fillId="0" borderId="18" xfId="0" applyNumberFormat="1" applyFont="1" applyFill="1" applyBorder="1" applyAlignment="1">
      <alignment horizontal="left" vertical="center" wrapText="1"/>
    </xf>
    <xf numFmtId="171" fontId="67" fillId="0" borderId="18" xfId="0" applyNumberFormat="1" applyFont="1" applyFill="1" applyBorder="1" applyAlignment="1">
      <alignment vertical="center" wrapText="1"/>
    </xf>
    <xf numFmtId="10" fontId="67" fillId="0" borderId="18" xfId="0" applyNumberFormat="1" applyFont="1" applyFill="1" applyBorder="1" applyAlignment="1">
      <alignment vertical="center" wrapText="1"/>
    </xf>
    <xf numFmtId="171" fontId="67" fillId="0" borderId="18" xfId="0" applyNumberFormat="1" applyFont="1" applyFill="1" applyBorder="1" applyAlignment="1">
      <alignment vertical="center"/>
    </xf>
    <xf numFmtId="49" fontId="65" fillId="0" borderId="13" xfId="0" applyNumberFormat="1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171" fontId="65" fillId="0" borderId="10" xfId="0" applyNumberFormat="1" applyFont="1" applyFill="1" applyBorder="1" applyAlignment="1">
      <alignment vertical="center"/>
    </xf>
    <xf numFmtId="49" fontId="67" fillId="0" borderId="14" xfId="0" applyNumberFormat="1" applyFont="1" applyFill="1" applyBorder="1" applyAlignment="1">
      <alignment horizontal="center" vertical="center" wrapText="1"/>
    </xf>
    <xf numFmtId="49" fontId="67" fillId="0" borderId="15" xfId="0" applyNumberFormat="1" applyFont="1" applyFill="1" applyBorder="1" applyAlignment="1">
      <alignment horizontal="center" vertical="center" wrapText="1"/>
    </xf>
    <xf numFmtId="171" fontId="69" fillId="0" borderId="10" xfId="43" applyNumberFormat="1" applyFont="1" applyFill="1" applyBorder="1" applyAlignment="1">
      <alignment horizontal="right" vertical="center" wrapText="1" indent="1"/>
    </xf>
    <xf numFmtId="171" fontId="70" fillId="34" borderId="10" xfId="0" applyNumberFormat="1" applyFont="1" applyFill="1" applyBorder="1" applyAlignment="1">
      <alignment horizontal="right" vertical="center" wrapText="1"/>
    </xf>
    <xf numFmtId="171" fontId="70" fillId="34" borderId="10" xfId="0" applyNumberFormat="1" applyFont="1" applyFill="1" applyBorder="1" applyAlignment="1">
      <alignment vertical="center" wrapText="1"/>
    </xf>
    <xf numFmtId="10" fontId="70" fillId="34" borderId="10" xfId="0" applyNumberFormat="1" applyFont="1" applyFill="1" applyBorder="1" applyAlignment="1">
      <alignment vertical="center" wrapText="1"/>
    </xf>
    <xf numFmtId="171" fontId="70" fillId="34" borderId="10" xfId="0" applyNumberFormat="1" applyFont="1" applyFill="1" applyBorder="1" applyAlignment="1">
      <alignment vertical="center"/>
    </xf>
    <xf numFmtId="171" fontId="71" fillId="34" borderId="10" xfId="0" applyNumberFormat="1" applyFont="1" applyFill="1" applyBorder="1" applyAlignment="1">
      <alignment horizontal="right" vertical="center" wrapText="1"/>
    </xf>
    <xf numFmtId="171" fontId="71" fillId="34" borderId="10" xfId="0" applyNumberFormat="1" applyFont="1" applyFill="1" applyBorder="1" applyAlignment="1">
      <alignment vertical="center" wrapText="1"/>
    </xf>
    <xf numFmtId="10" fontId="71" fillId="34" borderId="10" xfId="0" applyNumberFormat="1" applyFont="1" applyFill="1" applyBorder="1" applyAlignment="1">
      <alignment vertical="center" wrapText="1"/>
    </xf>
    <xf numFmtId="171" fontId="71" fillId="34" borderId="10" xfId="0" applyNumberFormat="1" applyFont="1" applyFill="1" applyBorder="1" applyAlignment="1">
      <alignment vertical="center"/>
    </xf>
    <xf numFmtId="49" fontId="70" fillId="0" borderId="10" xfId="0" applyNumberFormat="1" applyFont="1" applyFill="1" applyBorder="1" applyAlignment="1">
      <alignment horizontal="center" vertical="center" wrapText="1"/>
    </xf>
    <xf numFmtId="49" fontId="70" fillId="0" borderId="12" xfId="0" applyNumberFormat="1" applyFont="1" applyFill="1" applyBorder="1" applyAlignment="1">
      <alignment horizontal="center" vertical="center" wrapText="1"/>
    </xf>
    <xf numFmtId="49" fontId="72" fillId="0" borderId="14" xfId="0" applyNumberFormat="1" applyFont="1" applyFill="1" applyBorder="1" applyAlignment="1">
      <alignment horizontal="center" vertical="center" wrapText="1"/>
    </xf>
    <xf numFmtId="171" fontId="72" fillId="0" borderId="10" xfId="0" applyNumberFormat="1" applyFont="1" applyFill="1" applyBorder="1" applyAlignment="1">
      <alignment horizontal="right" vertical="center" wrapText="1" indent="1"/>
    </xf>
    <xf numFmtId="171" fontId="72" fillId="0" borderId="1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10" fillId="34" borderId="19" xfId="0" applyNumberFormat="1" applyFont="1" applyFill="1" applyBorder="1" applyAlignment="1">
      <alignment horizontal="center" vertical="center" wrapText="1"/>
    </xf>
    <xf numFmtId="49" fontId="10" fillId="34" borderId="21" xfId="0" applyNumberFormat="1" applyFont="1" applyFill="1" applyBorder="1" applyAlignment="1">
      <alignment horizontal="center" vertical="center" wrapText="1"/>
    </xf>
    <xf numFmtId="49" fontId="10" fillId="34" borderId="2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67" fillId="0" borderId="16" xfId="0" applyNumberFormat="1" applyFont="1" applyFill="1" applyBorder="1" applyAlignment="1">
      <alignment horizontal="center" vertical="center" wrapText="1"/>
    </xf>
    <xf numFmtId="49" fontId="67" fillId="0" borderId="17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65" fillId="0" borderId="12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49" fontId="5" fillId="34" borderId="19" xfId="0" applyNumberFormat="1" applyFont="1" applyFill="1" applyBorder="1" applyAlignment="1">
      <alignment horizontal="center" vertical="center" wrapText="1"/>
    </xf>
    <xf numFmtId="49" fontId="5" fillId="34" borderId="21" xfId="0" applyNumberFormat="1" applyFont="1" applyFill="1" applyBorder="1" applyAlignment="1">
      <alignment horizontal="center" vertical="center" wrapText="1"/>
    </xf>
    <xf numFmtId="49" fontId="5" fillId="34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2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11" sqref="H11"/>
    </sheetView>
  </sheetViews>
  <sheetFormatPr defaultColWidth="9.140625" defaultRowHeight="12.75"/>
  <cols>
    <col min="1" max="1" width="6.421875" style="35" customWidth="1"/>
    <col min="2" max="2" width="25.57421875" style="11" customWidth="1"/>
    <col min="3" max="3" width="48.421875" style="11" customWidth="1"/>
    <col min="4" max="4" width="14.57421875" style="16" customWidth="1"/>
    <col min="5" max="5" width="14.421875" style="155" customWidth="1"/>
    <col min="6" max="6" width="14.421875" style="37" customWidth="1"/>
    <col min="7" max="7" width="12.7109375" style="16" customWidth="1"/>
    <col min="8" max="8" width="12.28125" style="16" customWidth="1"/>
    <col min="9" max="9" width="12.8515625" style="92" hidden="1" customWidth="1"/>
    <col min="10" max="10" width="12.28125" style="16" hidden="1" customWidth="1"/>
    <col min="11" max="11" width="12.28125" style="19" hidden="1" customWidth="1"/>
    <col min="12" max="12" width="14.140625" style="16" customWidth="1"/>
  </cols>
  <sheetData>
    <row r="1" spans="1:12" ht="15">
      <c r="A1" s="9"/>
      <c r="B1" s="7"/>
      <c r="C1" s="7"/>
      <c r="D1" s="7"/>
      <c r="E1" s="150"/>
      <c r="G1" s="7"/>
      <c r="H1" s="7"/>
      <c r="J1" s="7"/>
      <c r="K1" s="38"/>
      <c r="L1" s="39" t="s">
        <v>198</v>
      </c>
    </row>
    <row r="2" spans="1:12" ht="15">
      <c r="A2" s="9"/>
      <c r="B2" s="7"/>
      <c r="C2" s="7"/>
      <c r="D2" s="7"/>
      <c r="E2" s="150"/>
      <c r="G2" s="7"/>
      <c r="H2" s="7"/>
      <c r="J2" s="7"/>
      <c r="K2" s="38"/>
      <c r="L2" s="39" t="s">
        <v>87</v>
      </c>
    </row>
    <row r="3" spans="1:12" s="4" customFormat="1" ht="21" customHeight="1">
      <c r="A3" s="248" t="s">
        <v>199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</row>
    <row r="4" spans="1:12" s="4" customFormat="1" ht="15" customHeight="1">
      <c r="A4" s="9"/>
      <c r="B4" s="5"/>
      <c r="C4" s="5"/>
      <c r="D4" s="40"/>
      <c r="E4" s="151"/>
      <c r="F4" s="41"/>
      <c r="G4" s="42"/>
      <c r="H4" s="42"/>
      <c r="I4" s="102"/>
      <c r="J4" s="42"/>
      <c r="K4" s="43"/>
      <c r="L4" s="44" t="s">
        <v>66</v>
      </c>
    </row>
    <row r="5" spans="1:12" s="4" customFormat="1" ht="87.75" customHeight="1">
      <c r="A5" s="1" t="s">
        <v>0</v>
      </c>
      <c r="B5" s="1" t="s">
        <v>70</v>
      </c>
      <c r="C5" s="1" t="s">
        <v>79</v>
      </c>
      <c r="D5" s="8" t="s">
        <v>190</v>
      </c>
      <c r="E5" s="8" t="s">
        <v>188</v>
      </c>
      <c r="F5" s="6" t="s">
        <v>181</v>
      </c>
      <c r="G5" s="6" t="s">
        <v>189</v>
      </c>
      <c r="H5" s="6" t="s">
        <v>88</v>
      </c>
      <c r="I5" s="6" t="s">
        <v>182</v>
      </c>
      <c r="J5" s="6" t="s">
        <v>135</v>
      </c>
      <c r="K5" s="33" t="s">
        <v>136</v>
      </c>
      <c r="L5" s="45" t="s">
        <v>196</v>
      </c>
    </row>
    <row r="6" spans="1:12" s="7" customFormat="1" ht="52.5" customHeight="1">
      <c r="A6" s="1" t="s">
        <v>67</v>
      </c>
      <c r="B6" s="2" t="s">
        <v>91</v>
      </c>
      <c r="C6" s="2" t="s">
        <v>41</v>
      </c>
      <c r="D6" s="113">
        <f>D7</f>
        <v>241762.213</v>
      </c>
      <c r="E6" s="113">
        <f>E7</f>
        <v>164050.949</v>
      </c>
      <c r="F6" s="113">
        <v>146677.016</v>
      </c>
      <c r="G6" s="66">
        <f aca="true" t="shared" si="0" ref="G6:G74">F6/E6*100</f>
        <v>89.40942853064509</v>
      </c>
      <c r="H6" s="66">
        <f aca="true" t="shared" si="1" ref="H6:H17">F6/D6*100</f>
        <v>60.669950932323744</v>
      </c>
      <c r="I6" s="66"/>
      <c r="J6" s="66"/>
      <c r="K6" s="67"/>
      <c r="L6" s="32" t="s">
        <v>77</v>
      </c>
    </row>
    <row r="7" spans="1:12" s="31" customFormat="1" ht="17.25" customHeight="1">
      <c r="A7" s="29"/>
      <c r="B7" s="30"/>
      <c r="C7" s="76" t="s">
        <v>39</v>
      </c>
      <c r="D7" s="108">
        <v>241762.213</v>
      </c>
      <c r="E7" s="108">
        <v>164050.949</v>
      </c>
      <c r="F7" s="108">
        <v>146677.016</v>
      </c>
      <c r="G7" s="65">
        <f>F7/E7*100</f>
        <v>89.40942853064509</v>
      </c>
      <c r="H7" s="65">
        <f t="shared" si="1"/>
        <v>60.669950932323744</v>
      </c>
      <c r="I7" s="65">
        <f>I8+I9</f>
        <v>193447.90000000002</v>
      </c>
      <c r="J7" s="65">
        <f>I7-D7</f>
        <v>-48314.312999999966</v>
      </c>
      <c r="K7" s="84">
        <f>I7/D7</f>
        <v>0.8001577153001989</v>
      </c>
      <c r="L7" s="21">
        <f>G7-95</f>
        <v>-5.590571469354913</v>
      </c>
    </row>
    <row r="8" spans="1:13" s="125" customFormat="1" ht="25.5" customHeight="1" hidden="1">
      <c r="A8" s="1" t="s">
        <v>67</v>
      </c>
      <c r="B8" s="134"/>
      <c r="C8" s="76" t="s">
        <v>105</v>
      </c>
      <c r="D8" s="108">
        <v>40806.4</v>
      </c>
      <c r="E8" s="108">
        <v>25993.39</v>
      </c>
      <c r="F8" s="107">
        <v>24305.381</v>
      </c>
      <c r="G8" s="66">
        <f t="shared" si="0"/>
        <v>93.50600671940059</v>
      </c>
      <c r="H8" s="66">
        <f t="shared" si="1"/>
        <v>59.56266909112296</v>
      </c>
      <c r="I8" s="65">
        <v>39433.2</v>
      </c>
      <c r="J8" s="65">
        <f>I8-D8</f>
        <v>-1373.2000000000044</v>
      </c>
      <c r="K8" s="67">
        <f>I8/D8</f>
        <v>0.9663484159347552</v>
      </c>
      <c r="L8" s="21"/>
      <c r="M8" s="7"/>
    </row>
    <row r="9" spans="1:12" s="125" customFormat="1" ht="25.5" customHeight="1" hidden="1">
      <c r="A9" s="1" t="s">
        <v>67</v>
      </c>
      <c r="B9" s="134"/>
      <c r="C9" s="76" t="s">
        <v>158</v>
      </c>
      <c r="D9" s="108">
        <v>178534.958</v>
      </c>
      <c r="E9" s="108">
        <v>112358.245</v>
      </c>
      <c r="F9" s="107">
        <v>89746.293</v>
      </c>
      <c r="G9" s="66">
        <f t="shared" si="0"/>
        <v>79.87512887906001</v>
      </c>
      <c r="H9" s="66">
        <f t="shared" si="1"/>
        <v>50.26819061396368</v>
      </c>
      <c r="I9" s="65">
        <v>154014.7</v>
      </c>
      <c r="J9" s="65">
        <f>I9-D9</f>
        <v>-24520.258</v>
      </c>
      <c r="K9" s="67">
        <f>I9/D9</f>
        <v>0.8626585052323479</v>
      </c>
      <c r="L9" s="21"/>
    </row>
    <row r="10" spans="1:13" s="127" customFormat="1" ht="39.75" customHeight="1" hidden="1">
      <c r="A10" s="1" t="s">
        <v>67</v>
      </c>
      <c r="B10" s="134"/>
      <c r="C10" s="80" t="s">
        <v>159</v>
      </c>
      <c r="D10" s="139">
        <v>20000</v>
      </c>
      <c r="E10" s="139">
        <v>0</v>
      </c>
      <c r="F10" s="139">
        <v>0</v>
      </c>
      <c r="G10" s="66">
        <v>0</v>
      </c>
      <c r="H10" s="66">
        <f t="shared" si="1"/>
        <v>0</v>
      </c>
      <c r="I10" s="65">
        <v>0</v>
      </c>
      <c r="J10" s="65">
        <f>I10-D10</f>
        <v>-20000</v>
      </c>
      <c r="K10" s="67">
        <f>I10/D10</f>
        <v>0</v>
      </c>
      <c r="L10" s="21"/>
      <c r="M10" s="140"/>
    </row>
    <row r="11" spans="1:12" s="4" customFormat="1" ht="39.75" customHeight="1">
      <c r="A11" s="77" t="s">
        <v>68</v>
      </c>
      <c r="B11" s="78" t="s">
        <v>92</v>
      </c>
      <c r="C11" s="2" t="s">
        <v>69</v>
      </c>
      <c r="D11" s="113">
        <f>D12+D17</f>
        <v>552291.546</v>
      </c>
      <c r="E11" s="113">
        <f>E12+E17</f>
        <v>518605.913</v>
      </c>
      <c r="F11" s="113">
        <f>F12+F17</f>
        <v>480156.973</v>
      </c>
      <c r="G11" s="66">
        <f t="shared" si="0"/>
        <v>92.58609687313766</v>
      </c>
      <c r="H11" s="66">
        <f t="shared" si="1"/>
        <v>86.93904088837891</v>
      </c>
      <c r="I11" s="66"/>
      <c r="J11" s="65"/>
      <c r="K11" s="67"/>
      <c r="L11" s="32" t="s">
        <v>77</v>
      </c>
    </row>
    <row r="12" spans="1:13" s="4" customFormat="1" ht="26.25" customHeight="1">
      <c r="A12" s="252"/>
      <c r="B12" s="253"/>
      <c r="C12" s="79" t="s">
        <v>74</v>
      </c>
      <c r="D12" s="170">
        <f>D13+D14</f>
        <v>97362.1</v>
      </c>
      <c r="E12" s="170">
        <f>E13+E14</f>
        <v>76990.767</v>
      </c>
      <c r="F12" s="170">
        <f>F13+F14</f>
        <v>73203.375</v>
      </c>
      <c r="G12" s="72">
        <f t="shared" si="0"/>
        <v>95.08071922442336</v>
      </c>
      <c r="H12" s="72">
        <f t="shared" si="1"/>
        <v>75.1867256355399</v>
      </c>
      <c r="I12" s="72">
        <f>I15+I16</f>
        <v>90655</v>
      </c>
      <c r="J12" s="72">
        <f>I12-D12</f>
        <v>-6707.100000000006</v>
      </c>
      <c r="K12" s="105">
        <f>I12/D12</f>
        <v>0.9311117981226781</v>
      </c>
      <c r="L12" s="46">
        <f aca="true" t="shared" si="2" ref="L12:L21">G12-95</f>
        <v>0.08071922442336188</v>
      </c>
      <c r="M12" s="7"/>
    </row>
    <row r="13" spans="1:12" s="4" customFormat="1" ht="12.75" hidden="1">
      <c r="A13" s="27"/>
      <c r="B13" s="28"/>
      <c r="C13" s="83" t="s">
        <v>138</v>
      </c>
      <c r="D13" s="118">
        <v>86048.3</v>
      </c>
      <c r="E13" s="118">
        <v>69686.6</v>
      </c>
      <c r="F13" s="118">
        <v>66299.528</v>
      </c>
      <c r="G13" s="119">
        <f t="shared" si="0"/>
        <v>95.13956485177926</v>
      </c>
      <c r="H13" s="119">
        <f t="shared" si="1"/>
        <v>77.04920143686745</v>
      </c>
      <c r="I13" s="119"/>
      <c r="J13" s="119"/>
      <c r="K13" s="120"/>
      <c r="L13" s="121">
        <f t="shared" si="2"/>
        <v>0.13956485177925515</v>
      </c>
    </row>
    <row r="14" spans="1:12" s="4" customFormat="1" ht="25.5" hidden="1">
      <c r="A14" s="27"/>
      <c r="B14" s="28"/>
      <c r="C14" s="83" t="s">
        <v>139</v>
      </c>
      <c r="D14" s="118">
        <v>11313.8</v>
      </c>
      <c r="E14" s="118">
        <v>7304.167</v>
      </c>
      <c r="F14" s="118">
        <v>6903.847</v>
      </c>
      <c r="G14" s="119">
        <f t="shared" si="0"/>
        <v>94.51929289130436</v>
      </c>
      <c r="H14" s="119">
        <f t="shared" si="1"/>
        <v>61.02146935600771</v>
      </c>
      <c r="I14" s="119"/>
      <c r="J14" s="119"/>
      <c r="K14" s="120"/>
      <c r="L14" s="121">
        <f t="shared" si="2"/>
        <v>-0.4807071086956398</v>
      </c>
    </row>
    <row r="15" spans="1:13" s="128" customFormat="1" ht="25.5" hidden="1">
      <c r="A15" s="1" t="s">
        <v>68</v>
      </c>
      <c r="B15" s="134"/>
      <c r="C15" s="80" t="s">
        <v>105</v>
      </c>
      <c r="D15" s="135">
        <v>80235.2</v>
      </c>
      <c r="E15" s="135">
        <v>52780.17</v>
      </c>
      <c r="F15" s="135">
        <v>66299.528</v>
      </c>
      <c r="G15" s="65">
        <f t="shared" si="0"/>
        <v>125.6144646748959</v>
      </c>
      <c r="H15" s="65">
        <f t="shared" si="1"/>
        <v>82.63147346800407</v>
      </c>
      <c r="I15" s="135">
        <v>77944.4</v>
      </c>
      <c r="J15" s="65">
        <f>I15-D15</f>
        <v>-2290.800000000003</v>
      </c>
      <c r="K15" s="84">
        <f>I15/D15</f>
        <v>0.9714489401160588</v>
      </c>
      <c r="L15" s="21"/>
      <c r="M15" s="7"/>
    </row>
    <row r="16" spans="1:14" s="128" customFormat="1" ht="38.25" hidden="1">
      <c r="A16" s="1" t="s">
        <v>68</v>
      </c>
      <c r="B16" s="134"/>
      <c r="C16" s="80" t="s">
        <v>165</v>
      </c>
      <c r="D16" s="135">
        <v>15802.4</v>
      </c>
      <c r="E16" s="135">
        <v>8084.949</v>
      </c>
      <c r="F16" s="135">
        <v>6903.847</v>
      </c>
      <c r="G16" s="65">
        <f>F16/E16*100</f>
        <v>85.39134878896577</v>
      </c>
      <c r="H16" s="65">
        <f t="shared" si="1"/>
        <v>43.688597934490964</v>
      </c>
      <c r="I16" s="135">
        <v>12710.6</v>
      </c>
      <c r="J16" s="65">
        <f>I16-D16</f>
        <v>-3091.7999999999993</v>
      </c>
      <c r="K16" s="84">
        <f>I16/D16</f>
        <v>0.8043461752645168</v>
      </c>
      <c r="L16" s="21"/>
      <c r="M16" s="7"/>
      <c r="N16" s="16"/>
    </row>
    <row r="17" spans="1:13" s="4" customFormat="1" ht="27.75" customHeight="1">
      <c r="A17" s="27"/>
      <c r="B17" s="28"/>
      <c r="C17" s="79" t="s">
        <v>137</v>
      </c>
      <c r="D17" s="170">
        <f>D18+D19+D20+D21</f>
        <v>454929.446</v>
      </c>
      <c r="E17" s="170">
        <f>E18+E19+E20+E21</f>
        <v>441615.146</v>
      </c>
      <c r="F17" s="170">
        <f>F18+F19+F20+F21</f>
        <v>406953.598</v>
      </c>
      <c r="G17" s="72">
        <f t="shared" si="0"/>
        <v>92.15118677111677</v>
      </c>
      <c r="H17" s="72">
        <f t="shared" si="1"/>
        <v>89.4542223147279</v>
      </c>
      <c r="I17" s="72">
        <f>I18+I19+I20+I21</f>
        <v>254327.641</v>
      </c>
      <c r="J17" s="72">
        <f>I17-D17</f>
        <v>-200601.805</v>
      </c>
      <c r="K17" s="105">
        <f>I17/D17</f>
        <v>0.5590485365064718</v>
      </c>
      <c r="L17" s="46">
        <f t="shared" si="2"/>
        <v>-2.8488132288832304</v>
      </c>
      <c r="M17" s="7"/>
    </row>
    <row r="18" spans="1:12" s="7" customFormat="1" ht="39.75" customHeight="1" hidden="1">
      <c r="A18" s="95"/>
      <c r="B18" s="28"/>
      <c r="C18" s="83" t="s">
        <v>131</v>
      </c>
      <c r="D18" s="118">
        <v>0</v>
      </c>
      <c r="E18" s="118">
        <v>0</v>
      </c>
      <c r="F18" s="118">
        <v>0</v>
      </c>
      <c r="G18" s="119">
        <v>0</v>
      </c>
      <c r="H18" s="119">
        <v>0</v>
      </c>
      <c r="I18" s="119">
        <v>0</v>
      </c>
      <c r="J18" s="119"/>
      <c r="K18" s="120"/>
      <c r="L18" s="121">
        <f t="shared" si="2"/>
        <v>-95</v>
      </c>
    </row>
    <row r="19" spans="1:12" s="7" customFormat="1" ht="26.25" customHeight="1" hidden="1">
      <c r="A19" s="95"/>
      <c r="B19" s="28"/>
      <c r="C19" s="83" t="s">
        <v>84</v>
      </c>
      <c r="D19" s="118">
        <v>1683.74</v>
      </c>
      <c r="E19" s="118">
        <v>1683.74</v>
      </c>
      <c r="F19" s="118">
        <v>0</v>
      </c>
      <c r="G19" s="119">
        <f t="shared" si="0"/>
        <v>0</v>
      </c>
      <c r="H19" s="119">
        <f aca="true" t="shared" si="3" ref="H19:H41">F19/D19*100</f>
        <v>0</v>
      </c>
      <c r="I19" s="119">
        <v>0</v>
      </c>
      <c r="J19" s="119"/>
      <c r="K19" s="120"/>
      <c r="L19" s="121">
        <f t="shared" si="2"/>
        <v>-95</v>
      </c>
    </row>
    <row r="20" spans="1:12" s="7" customFormat="1" ht="26.25" customHeight="1" hidden="1">
      <c r="A20" s="95"/>
      <c r="B20" s="28"/>
      <c r="C20" s="83" t="s">
        <v>86</v>
      </c>
      <c r="D20" s="118">
        <v>416569.81</v>
      </c>
      <c r="E20" s="118">
        <v>416569.81</v>
      </c>
      <c r="F20" s="118">
        <v>406953.598</v>
      </c>
      <c r="G20" s="119">
        <f t="shared" si="0"/>
        <v>97.69157251217989</v>
      </c>
      <c r="H20" s="119">
        <f t="shared" si="3"/>
        <v>97.69157251217989</v>
      </c>
      <c r="I20" s="119">
        <v>254327.641</v>
      </c>
      <c r="J20" s="119">
        <f>I20-D20</f>
        <v>-162242.169</v>
      </c>
      <c r="K20" s="120">
        <f>I20/D20</f>
        <v>0.6105282593570571</v>
      </c>
      <c r="L20" s="121">
        <f t="shared" si="2"/>
        <v>2.6915725121798886</v>
      </c>
    </row>
    <row r="21" spans="1:12" s="7" customFormat="1" ht="16.5" customHeight="1" hidden="1">
      <c r="A21" s="101"/>
      <c r="B21" s="100"/>
      <c r="C21" s="83" t="s">
        <v>85</v>
      </c>
      <c r="D21" s="118">
        <v>36675.896</v>
      </c>
      <c r="E21" s="118">
        <v>23361.596</v>
      </c>
      <c r="F21" s="118">
        <v>0</v>
      </c>
      <c r="G21" s="119">
        <f t="shared" si="0"/>
        <v>0</v>
      </c>
      <c r="H21" s="119">
        <f t="shared" si="3"/>
        <v>0</v>
      </c>
      <c r="I21" s="119">
        <v>0</v>
      </c>
      <c r="J21" s="119"/>
      <c r="K21" s="120"/>
      <c r="L21" s="121">
        <f t="shared" si="2"/>
        <v>-95</v>
      </c>
    </row>
    <row r="22" spans="1:12" s="16" customFormat="1" ht="51" customHeight="1">
      <c r="A22" s="1" t="s">
        <v>133</v>
      </c>
      <c r="B22" s="2" t="s">
        <v>132</v>
      </c>
      <c r="C22" s="2" t="s">
        <v>134</v>
      </c>
      <c r="D22" s="113">
        <f>D23+D26</f>
        <v>188762.38199999998</v>
      </c>
      <c r="E22" s="113">
        <f>E23+E26</f>
        <v>124434.307</v>
      </c>
      <c r="F22" s="113">
        <v>109652.31</v>
      </c>
      <c r="G22" s="66">
        <f t="shared" si="0"/>
        <v>88.12064184196404</v>
      </c>
      <c r="H22" s="66">
        <f t="shared" si="3"/>
        <v>58.090128360427244</v>
      </c>
      <c r="I22" s="66"/>
      <c r="J22" s="65"/>
      <c r="K22" s="84"/>
      <c r="L22" s="32" t="s">
        <v>77</v>
      </c>
    </row>
    <row r="23" spans="1:12" s="7" customFormat="1" ht="17.25" customHeight="1">
      <c r="A23" s="25"/>
      <c r="B23" s="26"/>
      <c r="C23" s="76" t="s">
        <v>39</v>
      </c>
      <c r="D23" s="107">
        <v>178818.762</v>
      </c>
      <c r="E23" s="107">
        <v>124434.307</v>
      </c>
      <c r="F23" s="107">
        <v>109652.31</v>
      </c>
      <c r="G23" s="65">
        <f t="shared" si="0"/>
        <v>88.12064184196404</v>
      </c>
      <c r="H23" s="65">
        <f t="shared" si="3"/>
        <v>61.32036077959202</v>
      </c>
      <c r="I23" s="65">
        <f>I24+I25</f>
        <v>125948.95000000001</v>
      </c>
      <c r="J23" s="65">
        <f>I23-D23</f>
        <v>-52869.811999999976</v>
      </c>
      <c r="K23" s="84">
        <f>I23/D23</f>
        <v>0.7043385637576443</v>
      </c>
      <c r="L23" s="21">
        <f>G23-95</f>
        <v>-6.879358158035956</v>
      </c>
    </row>
    <row r="24" spans="1:13" s="128" customFormat="1" ht="27" customHeight="1" hidden="1">
      <c r="A24" s="45">
        <v>903</v>
      </c>
      <c r="B24" s="132"/>
      <c r="C24" s="76" t="s">
        <v>105</v>
      </c>
      <c r="D24" s="135">
        <v>48948.1</v>
      </c>
      <c r="E24" s="135">
        <v>31184.6</v>
      </c>
      <c r="F24" s="135">
        <v>29605.732</v>
      </c>
      <c r="G24" s="66">
        <f t="shared" si="0"/>
        <v>94.93702660928793</v>
      </c>
      <c r="H24" s="66">
        <f t="shared" si="3"/>
        <v>60.48392481015606</v>
      </c>
      <c r="I24" s="135">
        <v>47736.1</v>
      </c>
      <c r="J24" s="65">
        <f>I24-D24</f>
        <v>-1212</v>
      </c>
      <c r="K24" s="67">
        <f>I24/D24</f>
        <v>0.9752390797599907</v>
      </c>
      <c r="L24" s="21"/>
      <c r="M24" s="16"/>
    </row>
    <row r="25" spans="1:12" s="128" customFormat="1" ht="39" customHeight="1" hidden="1">
      <c r="A25" s="45">
        <v>903</v>
      </c>
      <c r="B25" s="132"/>
      <c r="C25" s="76" t="s">
        <v>155</v>
      </c>
      <c r="D25" s="135">
        <v>153346.907</v>
      </c>
      <c r="E25" s="135">
        <v>45295.603</v>
      </c>
      <c r="F25" s="135">
        <v>44181.018</v>
      </c>
      <c r="G25" s="66">
        <f>F25/E25*100</f>
        <v>97.53930861677676</v>
      </c>
      <c r="H25" s="66">
        <f t="shared" si="3"/>
        <v>28.81115691495492</v>
      </c>
      <c r="I25" s="135">
        <v>78212.85</v>
      </c>
      <c r="J25" s="65">
        <f>I25-D25</f>
        <v>-75134.057</v>
      </c>
      <c r="K25" s="67">
        <f>I25/D25</f>
        <v>0.5100386537303945</v>
      </c>
      <c r="L25" s="21"/>
    </row>
    <row r="26" spans="1:13" s="94" customFormat="1" ht="17.25" customHeight="1">
      <c r="A26" s="130"/>
      <c r="B26" s="129"/>
      <c r="C26" s="76" t="s">
        <v>40</v>
      </c>
      <c r="D26" s="107">
        <v>9943.62</v>
      </c>
      <c r="E26" s="107">
        <v>0</v>
      </c>
      <c r="F26" s="107">
        <v>0</v>
      </c>
      <c r="G26" s="65">
        <v>0</v>
      </c>
      <c r="H26" s="65">
        <f t="shared" si="3"/>
        <v>0</v>
      </c>
      <c r="I26" s="135"/>
      <c r="J26" s="65"/>
      <c r="K26" s="67"/>
      <c r="L26" s="21"/>
      <c r="M26" s="16"/>
    </row>
    <row r="27" spans="1:12" s="7" customFormat="1" ht="47.25" customHeight="1">
      <c r="A27" s="1" t="s">
        <v>1</v>
      </c>
      <c r="B27" s="2" t="s">
        <v>93</v>
      </c>
      <c r="C27" s="2" t="s">
        <v>42</v>
      </c>
      <c r="D27" s="113">
        <f>D28</f>
        <v>68229.922</v>
      </c>
      <c r="E27" s="113">
        <f>E28</f>
        <v>52865.139</v>
      </c>
      <c r="F27" s="113">
        <v>47850.039</v>
      </c>
      <c r="G27" s="66">
        <f t="shared" si="0"/>
        <v>90.51340808921357</v>
      </c>
      <c r="H27" s="66">
        <f t="shared" si="3"/>
        <v>70.13057848725079</v>
      </c>
      <c r="I27" s="66"/>
      <c r="J27" s="66"/>
      <c r="K27" s="67"/>
      <c r="L27" s="32" t="s">
        <v>77</v>
      </c>
    </row>
    <row r="28" spans="1:12" s="31" customFormat="1" ht="17.25" customHeight="1">
      <c r="A28" s="29"/>
      <c r="B28" s="30"/>
      <c r="C28" s="76" t="s">
        <v>39</v>
      </c>
      <c r="D28" s="107">
        <v>68229.922</v>
      </c>
      <c r="E28" s="107">
        <v>52865.139</v>
      </c>
      <c r="F28" s="107">
        <v>47850.039</v>
      </c>
      <c r="G28" s="65">
        <f t="shared" si="0"/>
        <v>90.51340808921357</v>
      </c>
      <c r="H28" s="65">
        <f t="shared" si="3"/>
        <v>70.13057848725079</v>
      </c>
      <c r="I28" s="65">
        <f>I29+I30+I31</f>
        <v>57904.48</v>
      </c>
      <c r="J28" s="65">
        <f>I28-D28</f>
        <v>-10325.442000000003</v>
      </c>
      <c r="K28" s="84">
        <f>I28/D28</f>
        <v>0.8486669528949483</v>
      </c>
      <c r="L28" s="21">
        <f>G28-95</f>
        <v>-4.48659191078643</v>
      </c>
    </row>
    <row r="29" spans="1:12" s="128" customFormat="1" ht="27" customHeight="1" hidden="1">
      <c r="A29" s="45">
        <v>915</v>
      </c>
      <c r="B29" s="132"/>
      <c r="C29" s="76" t="s">
        <v>105</v>
      </c>
      <c r="D29" s="158">
        <v>7893.2</v>
      </c>
      <c r="E29" s="158">
        <v>5011.285</v>
      </c>
      <c r="F29" s="158">
        <v>4990.246</v>
      </c>
      <c r="G29" s="159">
        <f t="shared" si="0"/>
        <v>99.580167561813</v>
      </c>
      <c r="H29" s="159">
        <f t="shared" si="3"/>
        <v>63.222089900167234</v>
      </c>
      <c r="I29" s="160">
        <v>7710.9</v>
      </c>
      <c r="J29" s="160">
        <f>I29-D29</f>
        <v>-182.30000000000018</v>
      </c>
      <c r="K29" s="161">
        <f>I29/D29</f>
        <v>0.9769041706785587</v>
      </c>
      <c r="L29" s="162"/>
    </row>
    <row r="30" spans="1:13" s="128" customFormat="1" ht="27" customHeight="1" hidden="1">
      <c r="A30" s="45">
        <v>915</v>
      </c>
      <c r="B30" s="132"/>
      <c r="C30" s="76" t="s">
        <v>128</v>
      </c>
      <c r="D30" s="158">
        <v>54168.613</v>
      </c>
      <c r="E30" s="158">
        <v>34779.841</v>
      </c>
      <c r="F30" s="158">
        <v>31329.954</v>
      </c>
      <c r="G30" s="159">
        <f>F30/E30*100</f>
        <v>90.08078559071045</v>
      </c>
      <c r="H30" s="159">
        <f t="shared" si="3"/>
        <v>57.83783682997385</v>
      </c>
      <c r="I30" s="160">
        <v>49463.58</v>
      </c>
      <c r="J30" s="160">
        <f>I30-D30</f>
        <v>-4705.032999999996</v>
      </c>
      <c r="K30" s="161">
        <f>I30/D30</f>
        <v>0.9131409733529637</v>
      </c>
      <c r="L30" s="162"/>
      <c r="M30" s="16"/>
    </row>
    <row r="31" spans="1:12" s="128" customFormat="1" ht="65.25" customHeight="1" hidden="1">
      <c r="A31" s="45">
        <v>915</v>
      </c>
      <c r="B31" s="132"/>
      <c r="C31" s="76" t="s">
        <v>170</v>
      </c>
      <c r="D31" s="158">
        <v>923.036</v>
      </c>
      <c r="E31" s="158">
        <v>188</v>
      </c>
      <c r="F31" s="158">
        <v>0</v>
      </c>
      <c r="G31" s="159">
        <f>F31/E31*100</f>
        <v>0</v>
      </c>
      <c r="H31" s="159">
        <f t="shared" si="3"/>
        <v>0</v>
      </c>
      <c r="I31" s="160">
        <v>730</v>
      </c>
      <c r="J31" s="160">
        <f>I31-D31</f>
        <v>-193.03599999999994</v>
      </c>
      <c r="K31" s="161">
        <f>I31/D31</f>
        <v>0.7908683951655191</v>
      </c>
      <c r="L31" s="162"/>
    </row>
    <row r="32" spans="1:12" s="7" customFormat="1" ht="48" customHeight="1">
      <c r="A32" s="1" t="s">
        <v>2</v>
      </c>
      <c r="B32" s="2" t="s">
        <v>94</v>
      </c>
      <c r="C32" s="2" t="s">
        <v>43</v>
      </c>
      <c r="D32" s="113">
        <f>D33+D37+D38</f>
        <v>1979510.3990000002</v>
      </c>
      <c r="E32" s="113">
        <f>E33+E37+E38</f>
        <v>1661337.7859999998</v>
      </c>
      <c r="F32" s="113">
        <f>F33+F37+F38</f>
        <v>1494113.665</v>
      </c>
      <c r="G32" s="66">
        <f t="shared" si="0"/>
        <v>89.93436961410328</v>
      </c>
      <c r="H32" s="66">
        <f t="shared" si="3"/>
        <v>75.47895003505863</v>
      </c>
      <c r="I32" s="88"/>
      <c r="J32" s="66"/>
      <c r="K32" s="67"/>
      <c r="L32" s="32" t="s">
        <v>77</v>
      </c>
    </row>
    <row r="33" spans="1:12" s="31" customFormat="1" ht="16.5" customHeight="1">
      <c r="A33" s="29"/>
      <c r="B33" s="30"/>
      <c r="C33" s="76" t="s">
        <v>39</v>
      </c>
      <c r="D33" s="107">
        <v>156890.479</v>
      </c>
      <c r="E33" s="107">
        <v>66898.731</v>
      </c>
      <c r="F33" s="107">
        <v>66828.73</v>
      </c>
      <c r="G33" s="65">
        <f t="shared" si="0"/>
        <v>99.89536273864447</v>
      </c>
      <c r="H33" s="65">
        <f t="shared" si="3"/>
        <v>42.59578428592853</v>
      </c>
      <c r="I33" s="65">
        <f>I34+I35+I36</f>
        <v>65520.778</v>
      </c>
      <c r="J33" s="65">
        <f>I33-D33</f>
        <v>-91369.701</v>
      </c>
      <c r="K33" s="84">
        <f>I33/D33</f>
        <v>0.41762112282160857</v>
      </c>
      <c r="L33" s="21">
        <f>G33-95</f>
        <v>4.895362738644465</v>
      </c>
    </row>
    <row r="34" spans="1:12" s="128" customFormat="1" ht="39.75" customHeight="1" hidden="1">
      <c r="A34" s="1" t="s">
        <v>2</v>
      </c>
      <c r="B34" s="134"/>
      <c r="C34" s="76" t="s">
        <v>163</v>
      </c>
      <c r="D34" s="158">
        <v>121.4</v>
      </c>
      <c r="E34" s="158">
        <v>94</v>
      </c>
      <c r="F34" s="158">
        <v>94</v>
      </c>
      <c r="G34" s="159">
        <f>F34/E34*100</f>
        <v>100</v>
      </c>
      <c r="H34" s="159">
        <f t="shared" si="3"/>
        <v>77.42998352553542</v>
      </c>
      <c r="I34" s="160">
        <v>121.4</v>
      </c>
      <c r="J34" s="160">
        <f>I34-D34</f>
        <v>0</v>
      </c>
      <c r="K34" s="161">
        <f>I34/D34</f>
        <v>1</v>
      </c>
      <c r="L34" s="162"/>
    </row>
    <row r="35" spans="1:12" s="128" customFormat="1" ht="26.25" customHeight="1" hidden="1">
      <c r="A35" s="1" t="s">
        <v>2</v>
      </c>
      <c r="B35" s="134"/>
      <c r="C35" s="76" t="s">
        <v>152</v>
      </c>
      <c r="D35" s="158">
        <v>155599.629</v>
      </c>
      <c r="E35" s="158">
        <v>64299.928</v>
      </c>
      <c r="F35" s="158">
        <v>444.081</v>
      </c>
      <c r="G35" s="159">
        <f>F35/E35*100</f>
        <v>0.6906399646357303</v>
      </c>
      <c r="H35" s="159">
        <f t="shared" si="3"/>
        <v>0.2853997807411225</v>
      </c>
      <c r="I35" s="160">
        <v>64229.928</v>
      </c>
      <c r="J35" s="160">
        <f>I35-D35</f>
        <v>-91369.70099999999</v>
      </c>
      <c r="K35" s="161">
        <f>I35/D35</f>
        <v>0.412789724582184</v>
      </c>
      <c r="L35" s="162"/>
    </row>
    <row r="36" spans="1:12" s="128" customFormat="1" ht="42" customHeight="1" hidden="1">
      <c r="A36" s="1" t="s">
        <v>2</v>
      </c>
      <c r="B36" s="134"/>
      <c r="C36" s="76" t="s">
        <v>129</v>
      </c>
      <c r="D36" s="158">
        <v>1169.45</v>
      </c>
      <c r="E36" s="158">
        <v>1169.45</v>
      </c>
      <c r="F36" s="158">
        <v>1169.45</v>
      </c>
      <c r="G36" s="159">
        <f>F36/E36*100</f>
        <v>100</v>
      </c>
      <c r="H36" s="159">
        <f t="shared" si="3"/>
        <v>100</v>
      </c>
      <c r="I36" s="160">
        <v>1169.45</v>
      </c>
      <c r="J36" s="160">
        <f>I36-D36</f>
        <v>0</v>
      </c>
      <c r="K36" s="161">
        <f>I36/D36</f>
        <v>1</v>
      </c>
      <c r="L36" s="162"/>
    </row>
    <row r="37" spans="1:12" s="7" customFormat="1" ht="16.5" customHeight="1">
      <c r="A37" s="27"/>
      <c r="B37" s="28"/>
      <c r="C37" s="76" t="s">
        <v>40</v>
      </c>
      <c r="D37" s="107">
        <v>1251903.496</v>
      </c>
      <c r="E37" s="107">
        <v>1023722.631</v>
      </c>
      <c r="F37" s="107">
        <v>982315.971</v>
      </c>
      <c r="G37" s="65">
        <f t="shared" si="0"/>
        <v>95.95528527492327</v>
      </c>
      <c r="H37" s="65">
        <f t="shared" si="3"/>
        <v>78.46579022573478</v>
      </c>
      <c r="I37" s="65"/>
      <c r="J37" s="65"/>
      <c r="K37" s="84"/>
      <c r="L37" s="21">
        <f>G37-95</f>
        <v>0.9552852749232699</v>
      </c>
    </row>
    <row r="38" spans="1:12" s="7" customFormat="1" ht="27.75" customHeight="1">
      <c r="A38" s="47"/>
      <c r="B38" s="48"/>
      <c r="C38" s="76" t="s">
        <v>83</v>
      </c>
      <c r="D38" s="107">
        <v>570716.424</v>
      </c>
      <c r="E38" s="107">
        <v>570716.424</v>
      </c>
      <c r="F38" s="171">
        <v>444968.964</v>
      </c>
      <c r="G38" s="65">
        <f t="shared" si="0"/>
        <v>77.96673536768586</v>
      </c>
      <c r="H38" s="65">
        <f t="shared" si="3"/>
        <v>77.96673536768586</v>
      </c>
      <c r="I38" s="65"/>
      <c r="J38" s="65"/>
      <c r="K38" s="84"/>
      <c r="L38" s="21">
        <f>G38-95</f>
        <v>-17.033264632314143</v>
      </c>
    </row>
    <row r="39" spans="1:13" s="7" customFormat="1" ht="52.5" customHeight="1">
      <c r="A39" s="45">
        <v>924</v>
      </c>
      <c r="B39" s="144" t="s">
        <v>184</v>
      </c>
      <c r="C39" s="2" t="s">
        <v>183</v>
      </c>
      <c r="D39" s="113">
        <f>D41+D40</f>
        <v>886002.645</v>
      </c>
      <c r="E39" s="113">
        <f>E40+E41</f>
        <v>680240.5299999999</v>
      </c>
      <c r="F39" s="180">
        <f>F40+F41</f>
        <v>599062.073</v>
      </c>
      <c r="G39" s="66">
        <f t="shared" si="0"/>
        <v>88.06621284385982</v>
      </c>
      <c r="H39" s="66">
        <f t="shared" si="3"/>
        <v>67.61402760823586</v>
      </c>
      <c r="I39" s="66"/>
      <c r="J39" s="66"/>
      <c r="K39" s="67"/>
      <c r="L39" s="32" t="s">
        <v>77</v>
      </c>
      <c r="M39" s="31"/>
    </row>
    <row r="40" spans="1:12" s="7" customFormat="1" ht="27.75" customHeight="1">
      <c r="A40" s="146"/>
      <c r="B40" s="147"/>
      <c r="C40" s="80" t="s">
        <v>39</v>
      </c>
      <c r="D40" s="107">
        <f>881725.745</f>
        <v>881725.745</v>
      </c>
      <c r="E40" s="107">
        <f>678496.092</f>
        <v>678496.092</v>
      </c>
      <c r="F40" s="171">
        <f>597923.112+197.686</f>
        <v>598120.798</v>
      </c>
      <c r="G40" s="65">
        <f t="shared" si="0"/>
        <v>88.1539046506402</v>
      </c>
      <c r="H40" s="65">
        <f t="shared" si="3"/>
        <v>67.83524257874538</v>
      </c>
      <c r="I40" s="65"/>
      <c r="J40" s="65"/>
      <c r="K40" s="84"/>
      <c r="L40" s="21">
        <f>G40-95</f>
        <v>-6.8460953493598</v>
      </c>
    </row>
    <row r="41" spans="1:12" s="7" customFormat="1" ht="27.75" customHeight="1">
      <c r="A41" s="148"/>
      <c r="B41" s="149"/>
      <c r="C41" s="80" t="s">
        <v>83</v>
      </c>
      <c r="D41" s="107">
        <v>4276.9</v>
      </c>
      <c r="E41" s="107">
        <v>1744.438</v>
      </c>
      <c r="F41" s="171">
        <v>941.275</v>
      </c>
      <c r="G41" s="65">
        <f t="shared" si="0"/>
        <v>53.95863882809249</v>
      </c>
      <c r="H41" s="65">
        <f t="shared" si="3"/>
        <v>22.008347167340833</v>
      </c>
      <c r="I41" s="65"/>
      <c r="J41" s="65"/>
      <c r="K41" s="84"/>
      <c r="L41" s="21">
        <f>G41-95</f>
        <v>-41.04136117190751</v>
      </c>
    </row>
    <row r="42" spans="1:12" s="188" customFormat="1" ht="25.5" hidden="1">
      <c r="A42" s="181" t="s">
        <v>3</v>
      </c>
      <c r="B42" s="182" t="s">
        <v>191</v>
      </c>
      <c r="C42" s="183" t="s">
        <v>44</v>
      </c>
      <c r="D42" s="184">
        <f>D51+D43</f>
        <v>5386.8</v>
      </c>
      <c r="E42" s="184">
        <f>E51+E43</f>
        <v>4569.746</v>
      </c>
      <c r="F42" s="184">
        <f>F51+F43</f>
        <v>0</v>
      </c>
      <c r="G42" s="185">
        <v>0</v>
      </c>
      <c r="H42" s="185">
        <v>0</v>
      </c>
      <c r="I42" s="185"/>
      <c r="J42" s="185"/>
      <c r="K42" s="186"/>
      <c r="L42" s="187" t="s">
        <v>77</v>
      </c>
    </row>
    <row r="43" spans="1:12" s="194" customFormat="1" ht="27.75" customHeight="1" hidden="1">
      <c r="A43" s="258"/>
      <c r="B43" s="259"/>
      <c r="C43" s="189" t="s">
        <v>39</v>
      </c>
      <c r="D43" s="190">
        <v>5386.8</v>
      </c>
      <c r="E43" s="190">
        <v>4569.746</v>
      </c>
      <c r="F43" s="190">
        <v>0</v>
      </c>
      <c r="G43" s="191">
        <f t="shared" si="0"/>
        <v>0</v>
      </c>
      <c r="H43" s="191">
        <f>F43/D43*100</f>
        <v>0</v>
      </c>
      <c r="I43" s="191">
        <v>0</v>
      </c>
      <c r="J43" s="191">
        <v>0</v>
      </c>
      <c r="K43" s="192">
        <f aca="true" t="shared" si="4" ref="K43:K50">I43/D43</f>
        <v>0</v>
      </c>
      <c r="L43" s="193">
        <f>G43-95</f>
        <v>-95</v>
      </c>
    </row>
    <row r="44" spans="1:12" s="197" customFormat="1" ht="25.5" hidden="1">
      <c r="A44" s="195" t="s">
        <v>3</v>
      </c>
      <c r="B44" s="196"/>
      <c r="C44" s="189" t="s">
        <v>105</v>
      </c>
      <c r="D44" s="190">
        <v>0</v>
      </c>
      <c r="E44" s="190">
        <v>0</v>
      </c>
      <c r="F44" s="190">
        <v>0</v>
      </c>
      <c r="G44" s="185" t="e">
        <f t="shared" si="0"/>
        <v>#DIV/0!</v>
      </c>
      <c r="H44" s="185" t="e">
        <f>F44/D44*100</f>
        <v>#DIV/0!</v>
      </c>
      <c r="I44" s="191">
        <v>0</v>
      </c>
      <c r="J44" s="191">
        <v>0</v>
      </c>
      <c r="K44" s="186" t="e">
        <f t="shared" si="4"/>
        <v>#DIV/0!</v>
      </c>
      <c r="L44" s="193"/>
    </row>
    <row r="45" spans="1:12" s="197" customFormat="1" ht="38.25" hidden="1">
      <c r="A45" s="195" t="s">
        <v>3</v>
      </c>
      <c r="B45" s="196"/>
      <c r="C45" s="189" t="s">
        <v>164</v>
      </c>
      <c r="D45" s="190">
        <v>0</v>
      </c>
      <c r="E45" s="190">
        <v>0</v>
      </c>
      <c r="F45" s="190">
        <v>0</v>
      </c>
      <c r="G45" s="185" t="e">
        <f t="shared" si="0"/>
        <v>#DIV/0!</v>
      </c>
      <c r="H45" s="185" t="e">
        <f aca="true" t="shared" si="5" ref="H45:H50">F45/D45*100</f>
        <v>#DIV/0!</v>
      </c>
      <c r="I45" s="191">
        <v>0</v>
      </c>
      <c r="J45" s="191">
        <v>0</v>
      </c>
      <c r="K45" s="186" t="e">
        <f t="shared" si="4"/>
        <v>#DIV/0!</v>
      </c>
      <c r="L45" s="193"/>
    </row>
    <row r="46" spans="1:12" s="197" customFormat="1" ht="25.5" hidden="1">
      <c r="A46" s="195" t="s">
        <v>3</v>
      </c>
      <c r="B46" s="196"/>
      <c r="C46" s="189" t="s">
        <v>113</v>
      </c>
      <c r="D46" s="190">
        <v>0</v>
      </c>
      <c r="E46" s="190">
        <v>0</v>
      </c>
      <c r="F46" s="190">
        <v>0</v>
      </c>
      <c r="G46" s="185" t="e">
        <f t="shared" si="0"/>
        <v>#DIV/0!</v>
      </c>
      <c r="H46" s="185" t="e">
        <f t="shared" si="5"/>
        <v>#DIV/0!</v>
      </c>
      <c r="I46" s="191">
        <v>0</v>
      </c>
      <c r="J46" s="191">
        <v>0</v>
      </c>
      <c r="K46" s="186" t="e">
        <f t="shared" si="4"/>
        <v>#DIV/0!</v>
      </c>
      <c r="L46" s="193"/>
    </row>
    <row r="47" spans="1:12" s="197" customFormat="1" ht="38.25" hidden="1">
      <c r="A47" s="195" t="s">
        <v>3</v>
      </c>
      <c r="B47" s="196"/>
      <c r="C47" s="189" t="s">
        <v>130</v>
      </c>
      <c r="D47" s="190">
        <v>0</v>
      </c>
      <c r="E47" s="190">
        <v>0</v>
      </c>
      <c r="F47" s="190">
        <v>0</v>
      </c>
      <c r="G47" s="185" t="e">
        <f t="shared" si="0"/>
        <v>#DIV/0!</v>
      </c>
      <c r="H47" s="185" t="e">
        <f t="shared" si="5"/>
        <v>#DIV/0!</v>
      </c>
      <c r="I47" s="191">
        <v>0</v>
      </c>
      <c r="J47" s="191">
        <v>0</v>
      </c>
      <c r="K47" s="186" t="e">
        <f t="shared" si="4"/>
        <v>#DIV/0!</v>
      </c>
      <c r="L47" s="193"/>
    </row>
    <row r="48" spans="1:12" s="197" customFormat="1" ht="38.25" hidden="1">
      <c r="A48" s="195" t="s">
        <v>3</v>
      </c>
      <c r="B48" s="196"/>
      <c r="C48" s="189" t="s">
        <v>153</v>
      </c>
      <c r="D48" s="190">
        <v>0</v>
      </c>
      <c r="E48" s="190">
        <v>0</v>
      </c>
      <c r="F48" s="190">
        <v>0</v>
      </c>
      <c r="G48" s="185" t="e">
        <f t="shared" si="0"/>
        <v>#DIV/0!</v>
      </c>
      <c r="H48" s="185" t="e">
        <f t="shared" si="5"/>
        <v>#DIV/0!</v>
      </c>
      <c r="I48" s="191">
        <v>0</v>
      </c>
      <c r="J48" s="191">
        <v>0</v>
      </c>
      <c r="K48" s="186" t="e">
        <f>I48/D48</f>
        <v>#DIV/0!</v>
      </c>
      <c r="L48" s="193"/>
    </row>
    <row r="49" spans="1:12" s="197" customFormat="1" ht="38.25" hidden="1">
      <c r="A49" s="195" t="s">
        <v>3</v>
      </c>
      <c r="B49" s="196"/>
      <c r="C49" s="189" t="s">
        <v>154</v>
      </c>
      <c r="D49" s="190">
        <v>0</v>
      </c>
      <c r="E49" s="190">
        <v>0</v>
      </c>
      <c r="F49" s="190">
        <v>0</v>
      </c>
      <c r="G49" s="185" t="e">
        <f>F49/E49*100</f>
        <v>#DIV/0!</v>
      </c>
      <c r="H49" s="185" t="e">
        <f t="shared" si="5"/>
        <v>#DIV/0!</v>
      </c>
      <c r="I49" s="191">
        <v>0</v>
      </c>
      <c r="J49" s="191">
        <v>0</v>
      </c>
      <c r="K49" s="186" t="e">
        <f>I49/D49</f>
        <v>#DIV/0!</v>
      </c>
      <c r="L49" s="193"/>
    </row>
    <row r="50" spans="1:12" s="197" customFormat="1" ht="38.25" hidden="1">
      <c r="A50" s="195" t="s">
        <v>3</v>
      </c>
      <c r="B50" s="196"/>
      <c r="C50" s="189" t="s">
        <v>178</v>
      </c>
      <c r="D50" s="190">
        <v>0</v>
      </c>
      <c r="E50" s="190">
        <v>0</v>
      </c>
      <c r="F50" s="190">
        <v>0</v>
      </c>
      <c r="G50" s="185">
        <v>0</v>
      </c>
      <c r="H50" s="185" t="e">
        <f t="shared" si="5"/>
        <v>#DIV/0!</v>
      </c>
      <c r="I50" s="191">
        <v>0</v>
      </c>
      <c r="J50" s="191">
        <v>0</v>
      </c>
      <c r="K50" s="186" t="e">
        <f t="shared" si="4"/>
        <v>#DIV/0!</v>
      </c>
      <c r="L50" s="193"/>
    </row>
    <row r="51" spans="1:12" s="188" customFormat="1" ht="25.5" hidden="1">
      <c r="A51" s="254"/>
      <c r="B51" s="255"/>
      <c r="C51" s="189" t="s">
        <v>83</v>
      </c>
      <c r="D51" s="190">
        <v>0</v>
      </c>
      <c r="E51" s="190">
        <v>0</v>
      </c>
      <c r="F51" s="190">
        <v>0</v>
      </c>
      <c r="G51" s="191">
        <v>0</v>
      </c>
      <c r="H51" s="191">
        <v>0</v>
      </c>
      <c r="I51" s="191">
        <v>0</v>
      </c>
      <c r="J51" s="191">
        <v>0</v>
      </c>
      <c r="K51" s="191">
        <v>0</v>
      </c>
      <c r="L51" s="193">
        <f>G51-95</f>
        <v>-95</v>
      </c>
    </row>
    <row r="52" spans="1:12" s="188" customFormat="1" ht="38.25" hidden="1">
      <c r="A52" s="198" t="s">
        <v>76</v>
      </c>
      <c r="B52" s="199" t="s">
        <v>192</v>
      </c>
      <c r="C52" s="183" t="s">
        <v>75</v>
      </c>
      <c r="D52" s="184">
        <f>D53+D58</f>
        <v>0</v>
      </c>
      <c r="E52" s="184">
        <f>E53+E58</f>
        <v>0</v>
      </c>
      <c r="F52" s="184">
        <f>F53+F58</f>
        <v>0</v>
      </c>
      <c r="G52" s="185">
        <v>0</v>
      </c>
      <c r="H52" s="185">
        <v>0</v>
      </c>
      <c r="I52" s="185"/>
      <c r="J52" s="185"/>
      <c r="K52" s="186"/>
      <c r="L52" s="187" t="s">
        <v>77</v>
      </c>
    </row>
    <row r="53" spans="1:12" s="194" customFormat="1" ht="27.75" customHeight="1" hidden="1">
      <c r="A53" s="200"/>
      <c r="B53" s="201"/>
      <c r="C53" s="202" t="s">
        <v>39</v>
      </c>
      <c r="D53" s="190">
        <v>0</v>
      </c>
      <c r="E53" s="190">
        <v>0</v>
      </c>
      <c r="F53" s="190">
        <v>0</v>
      </c>
      <c r="G53" s="191">
        <v>0</v>
      </c>
      <c r="H53" s="191">
        <v>0</v>
      </c>
      <c r="I53" s="191">
        <v>0</v>
      </c>
      <c r="J53" s="191">
        <f>I53-D53</f>
        <v>0</v>
      </c>
      <c r="K53" s="192" t="e">
        <f>I53/D53</f>
        <v>#DIV/0!</v>
      </c>
      <c r="L53" s="193">
        <f>G53-95</f>
        <v>-95</v>
      </c>
    </row>
    <row r="54" spans="1:12" s="208" customFormat="1" ht="25.5" hidden="1">
      <c r="A54" s="181" t="s">
        <v>76</v>
      </c>
      <c r="B54" s="203"/>
      <c r="C54" s="204" t="s">
        <v>105</v>
      </c>
      <c r="D54" s="190">
        <v>0</v>
      </c>
      <c r="E54" s="190">
        <v>0</v>
      </c>
      <c r="F54" s="190">
        <v>0</v>
      </c>
      <c r="G54" s="191">
        <v>0</v>
      </c>
      <c r="H54" s="191">
        <v>0</v>
      </c>
      <c r="I54" s="191">
        <v>0</v>
      </c>
      <c r="J54" s="205">
        <f>I54-D54</f>
        <v>0</v>
      </c>
      <c r="K54" s="206" t="e">
        <f>I54/D54</f>
        <v>#DIV/0!</v>
      </c>
      <c r="L54" s="207"/>
    </row>
    <row r="55" spans="1:12" s="208" customFormat="1" ht="25.5" hidden="1">
      <c r="A55" s="181" t="s">
        <v>76</v>
      </c>
      <c r="B55" s="203"/>
      <c r="C55" s="202" t="s">
        <v>113</v>
      </c>
      <c r="D55" s="190">
        <v>0</v>
      </c>
      <c r="E55" s="190">
        <v>0</v>
      </c>
      <c r="F55" s="190">
        <v>0</v>
      </c>
      <c r="G55" s="191">
        <v>0</v>
      </c>
      <c r="H55" s="191">
        <v>0</v>
      </c>
      <c r="I55" s="191">
        <v>0</v>
      </c>
      <c r="J55" s="205">
        <f>I55-D55</f>
        <v>0</v>
      </c>
      <c r="K55" s="206" t="e">
        <f>I55/D55</f>
        <v>#DIV/0!</v>
      </c>
      <c r="L55" s="207"/>
    </row>
    <row r="56" spans="1:12" s="208" customFormat="1" ht="38.25" hidden="1">
      <c r="A56" s="181" t="s">
        <v>76</v>
      </c>
      <c r="B56" s="203"/>
      <c r="C56" s="202" t="s">
        <v>129</v>
      </c>
      <c r="D56" s="190">
        <v>0</v>
      </c>
      <c r="E56" s="190">
        <v>0</v>
      </c>
      <c r="F56" s="190">
        <v>0</v>
      </c>
      <c r="G56" s="191">
        <v>0</v>
      </c>
      <c r="H56" s="191">
        <v>0</v>
      </c>
      <c r="I56" s="191">
        <v>0</v>
      </c>
      <c r="J56" s="205">
        <f>I56-D56</f>
        <v>0</v>
      </c>
      <c r="K56" s="206" t="e">
        <f>I56/D56</f>
        <v>#DIV/0!</v>
      </c>
      <c r="L56" s="207"/>
    </row>
    <row r="57" spans="1:12" s="208" customFormat="1" ht="25.5" hidden="1">
      <c r="A57" s="195" t="s">
        <v>76</v>
      </c>
      <c r="B57" s="209"/>
      <c r="C57" s="202" t="s">
        <v>115</v>
      </c>
      <c r="D57" s="190">
        <v>0</v>
      </c>
      <c r="E57" s="190">
        <v>0</v>
      </c>
      <c r="F57" s="190">
        <v>0</v>
      </c>
      <c r="G57" s="191">
        <v>0</v>
      </c>
      <c r="H57" s="191">
        <v>0</v>
      </c>
      <c r="I57" s="191">
        <v>0</v>
      </c>
      <c r="J57" s="191">
        <f>I57-D57</f>
        <v>0</v>
      </c>
      <c r="K57" s="186" t="e">
        <f>I57/D57</f>
        <v>#DIV/0!</v>
      </c>
      <c r="L57" s="193"/>
    </row>
    <row r="58" spans="1:12" s="188" customFormat="1" ht="25.5" hidden="1">
      <c r="A58" s="210"/>
      <c r="B58" s="211"/>
      <c r="C58" s="212" t="s">
        <v>83</v>
      </c>
      <c r="D58" s="190">
        <v>0</v>
      </c>
      <c r="E58" s="190">
        <v>0</v>
      </c>
      <c r="F58" s="190">
        <v>0</v>
      </c>
      <c r="G58" s="191">
        <v>0</v>
      </c>
      <c r="H58" s="191">
        <v>0</v>
      </c>
      <c r="I58" s="213"/>
      <c r="J58" s="213"/>
      <c r="K58" s="214"/>
      <c r="L58" s="215">
        <f>G58-95</f>
        <v>-95</v>
      </c>
    </row>
    <row r="59" spans="1:12" s="7" customFormat="1" ht="36.75" customHeight="1">
      <c r="A59" s="77" t="s">
        <v>4</v>
      </c>
      <c r="B59" s="78" t="s">
        <v>95</v>
      </c>
      <c r="C59" s="2" t="s">
        <v>45</v>
      </c>
      <c r="D59" s="113">
        <f>D60+D67+D68</f>
        <v>8224927.379</v>
      </c>
      <c r="E59" s="113">
        <f>E60+E67+E68</f>
        <v>7451730.189</v>
      </c>
      <c r="F59" s="113">
        <f>F60+F67+F68</f>
        <v>6535466.095</v>
      </c>
      <c r="G59" s="66">
        <f t="shared" si="0"/>
        <v>87.70400872333569</v>
      </c>
      <c r="H59" s="66">
        <f aca="true" t="shared" si="6" ref="H59:H79">F59/D59*100</f>
        <v>79.45925591618528</v>
      </c>
      <c r="I59" s="66"/>
      <c r="J59" s="66"/>
      <c r="K59" s="67"/>
      <c r="L59" s="32" t="s">
        <v>77</v>
      </c>
    </row>
    <row r="60" spans="1:12" s="31" customFormat="1" ht="18" customHeight="1">
      <c r="A60" s="236"/>
      <c r="B60" s="237"/>
      <c r="C60" s="80" t="s">
        <v>39</v>
      </c>
      <c r="D60" s="107">
        <v>4624014.436</v>
      </c>
      <c r="E60" s="107">
        <v>3896703.818</v>
      </c>
      <c r="F60" s="107">
        <v>3777013.065</v>
      </c>
      <c r="G60" s="157">
        <f t="shared" si="0"/>
        <v>96.9284103029049</v>
      </c>
      <c r="H60" s="65">
        <f t="shared" si="6"/>
        <v>81.68255348846407</v>
      </c>
      <c r="I60" s="65">
        <f>I61+I62+I63+I64+I65+I66</f>
        <v>4364418.399999999</v>
      </c>
      <c r="J60" s="65">
        <f aca="true" t="shared" si="7" ref="J60:J66">I60-D60</f>
        <v>-259596.0360000003</v>
      </c>
      <c r="K60" s="84">
        <f aca="true" t="shared" si="8" ref="K60:K66">I60/D60</f>
        <v>0.943859164024461</v>
      </c>
      <c r="L60" s="21">
        <f>G60-95</f>
        <v>1.9284103029048936</v>
      </c>
    </row>
    <row r="61" spans="1:12" s="128" customFormat="1" ht="27" customHeight="1" hidden="1">
      <c r="A61" s="1" t="s">
        <v>4</v>
      </c>
      <c r="B61" s="134"/>
      <c r="C61" s="80" t="s">
        <v>105</v>
      </c>
      <c r="D61" s="158">
        <v>70011.2</v>
      </c>
      <c r="E61" s="158">
        <v>42020.327</v>
      </c>
      <c r="F61" s="158">
        <v>38220.63</v>
      </c>
      <c r="G61" s="159">
        <f t="shared" si="0"/>
        <v>90.95747874594122</v>
      </c>
      <c r="H61" s="159">
        <f t="shared" si="6"/>
        <v>54.59216525355943</v>
      </c>
      <c r="I61" s="160">
        <v>66653.7</v>
      </c>
      <c r="J61" s="160">
        <f t="shared" si="7"/>
        <v>-3357.5</v>
      </c>
      <c r="K61" s="161">
        <f t="shared" si="8"/>
        <v>0.9520433873437393</v>
      </c>
      <c r="L61" s="162"/>
    </row>
    <row r="62" spans="1:13" s="128" customFormat="1" ht="39.75" customHeight="1" hidden="1">
      <c r="A62" s="1" t="s">
        <v>4</v>
      </c>
      <c r="B62" s="134"/>
      <c r="C62" s="80" t="s">
        <v>164</v>
      </c>
      <c r="D62" s="158">
        <v>2191.992</v>
      </c>
      <c r="E62" s="158">
        <v>1928.992</v>
      </c>
      <c r="F62" s="158">
        <v>961</v>
      </c>
      <c r="G62" s="159">
        <f>F62/E62*100</f>
        <v>49.818765448482935</v>
      </c>
      <c r="H62" s="159">
        <f t="shared" si="6"/>
        <v>43.84140088102511</v>
      </c>
      <c r="I62" s="160">
        <v>961</v>
      </c>
      <c r="J62" s="160">
        <f t="shared" si="7"/>
        <v>-1230.9920000000002</v>
      </c>
      <c r="K62" s="161">
        <f t="shared" si="8"/>
        <v>0.4384140088102511</v>
      </c>
      <c r="L62" s="162"/>
      <c r="M62" s="16"/>
    </row>
    <row r="63" spans="1:13" s="128" customFormat="1" ht="27" customHeight="1" hidden="1">
      <c r="A63" s="1" t="s">
        <v>4</v>
      </c>
      <c r="B63" s="134"/>
      <c r="C63" s="80" t="s">
        <v>113</v>
      </c>
      <c r="D63" s="158">
        <v>4401397.081</v>
      </c>
      <c r="E63" s="158">
        <v>3069418.372</v>
      </c>
      <c r="F63" s="158">
        <v>2986417.73</v>
      </c>
      <c r="G63" s="159">
        <f>F63/E63*100</f>
        <v>97.29588371669523</v>
      </c>
      <c r="H63" s="159">
        <f t="shared" si="6"/>
        <v>67.85158609960008</v>
      </c>
      <c r="I63" s="160">
        <v>4250347.214</v>
      </c>
      <c r="J63" s="160">
        <f t="shared" si="7"/>
        <v>-151049.86700000055</v>
      </c>
      <c r="K63" s="161">
        <f t="shared" si="8"/>
        <v>0.9656813815658546</v>
      </c>
      <c r="L63" s="162"/>
      <c r="M63" s="16"/>
    </row>
    <row r="64" spans="1:13" s="128" customFormat="1" ht="38.25" customHeight="1" hidden="1">
      <c r="A64" s="1" t="s">
        <v>4</v>
      </c>
      <c r="B64" s="134"/>
      <c r="C64" s="80" t="s">
        <v>114</v>
      </c>
      <c r="D64" s="158">
        <f>40671+2670.6</f>
        <v>43341.6</v>
      </c>
      <c r="E64" s="158">
        <f>38795.735+2082.472</f>
        <v>40878.207</v>
      </c>
      <c r="F64" s="158">
        <f>37494.263+1950.378</f>
        <v>39444.640999999996</v>
      </c>
      <c r="G64" s="159">
        <f>F64/E64*100</f>
        <v>96.493080041402</v>
      </c>
      <c r="H64" s="159">
        <f t="shared" si="6"/>
        <v>91.00873294940656</v>
      </c>
      <c r="I64" s="160">
        <f>37626.377+2670.57</f>
        <v>40296.947</v>
      </c>
      <c r="J64" s="160">
        <f t="shared" si="7"/>
        <v>-3044.6529999999984</v>
      </c>
      <c r="K64" s="161">
        <f t="shared" si="8"/>
        <v>0.9297521780460344</v>
      </c>
      <c r="L64" s="162"/>
      <c r="M64" s="16"/>
    </row>
    <row r="65" spans="1:12" s="128" customFormat="1" ht="38.25" customHeight="1" hidden="1">
      <c r="A65" s="1" t="s">
        <v>4</v>
      </c>
      <c r="B65" s="134"/>
      <c r="C65" s="80" t="s">
        <v>129</v>
      </c>
      <c r="D65" s="158">
        <v>2389.05</v>
      </c>
      <c r="E65" s="158">
        <v>2389.05</v>
      </c>
      <c r="F65" s="158">
        <v>2335.138</v>
      </c>
      <c r="G65" s="159">
        <f>F65/E65*100</f>
        <v>97.74337079592306</v>
      </c>
      <c r="H65" s="159">
        <f t="shared" si="6"/>
        <v>97.74337079592306</v>
      </c>
      <c r="I65" s="160">
        <v>2356.627</v>
      </c>
      <c r="J65" s="160">
        <f t="shared" si="7"/>
        <v>-32.42300000000023</v>
      </c>
      <c r="K65" s="161">
        <f t="shared" si="8"/>
        <v>0.9864284966827818</v>
      </c>
      <c r="L65" s="162"/>
    </row>
    <row r="66" spans="1:13" s="128" customFormat="1" ht="38.25" customHeight="1" hidden="1">
      <c r="A66" s="1" t="s">
        <v>4</v>
      </c>
      <c r="B66" s="134"/>
      <c r="C66" s="80" t="s">
        <v>118</v>
      </c>
      <c r="D66" s="158">
        <v>3892.3</v>
      </c>
      <c r="E66" s="158">
        <v>2594.864</v>
      </c>
      <c r="F66" s="158">
        <v>1921.632</v>
      </c>
      <c r="G66" s="159">
        <f>F66/E66*100</f>
        <v>74.05521060063263</v>
      </c>
      <c r="H66" s="159">
        <f t="shared" si="6"/>
        <v>49.37008966420882</v>
      </c>
      <c r="I66" s="160">
        <v>3802.912</v>
      </c>
      <c r="J66" s="160">
        <f t="shared" si="7"/>
        <v>-89.38800000000037</v>
      </c>
      <c r="K66" s="161">
        <f t="shared" si="8"/>
        <v>0.9770346581712611</v>
      </c>
      <c r="L66" s="162"/>
      <c r="M66" s="16"/>
    </row>
    <row r="67" spans="1:12" s="7" customFormat="1" ht="16.5" customHeight="1">
      <c r="A67" s="260"/>
      <c r="B67" s="261"/>
      <c r="C67" s="80" t="s">
        <v>40</v>
      </c>
      <c r="D67" s="107">
        <v>3114226.49</v>
      </c>
      <c r="E67" s="107">
        <v>3114225.449</v>
      </c>
      <c r="F67" s="171">
        <v>2491633.124</v>
      </c>
      <c r="G67" s="65">
        <f t="shared" si="0"/>
        <v>80.00811645798093</v>
      </c>
      <c r="H67" s="65">
        <f t="shared" si="6"/>
        <v>80.00808971347487</v>
      </c>
      <c r="I67" s="65"/>
      <c r="J67" s="65"/>
      <c r="K67" s="84"/>
      <c r="L67" s="21">
        <f>G67-95</f>
        <v>-14.991883542019067</v>
      </c>
    </row>
    <row r="68" spans="1:12" s="7" customFormat="1" ht="27" customHeight="1">
      <c r="A68" s="250"/>
      <c r="B68" s="251"/>
      <c r="C68" s="80" t="s">
        <v>83</v>
      </c>
      <c r="D68" s="107">
        <f>483325.453+3361</f>
        <v>486686.453</v>
      </c>
      <c r="E68" s="107">
        <v>440800.922</v>
      </c>
      <c r="F68" s="107">
        <v>266819.906</v>
      </c>
      <c r="G68" s="65">
        <f t="shared" si="0"/>
        <v>60.530705060548854</v>
      </c>
      <c r="H68" s="65">
        <f t="shared" si="6"/>
        <v>54.82377912006522</v>
      </c>
      <c r="I68" s="65"/>
      <c r="J68" s="65"/>
      <c r="K68" s="67"/>
      <c r="L68" s="21">
        <f>G68-95</f>
        <v>-34.469294939451146</v>
      </c>
    </row>
    <row r="69" spans="1:12" s="7" customFormat="1" ht="28.5" customHeight="1">
      <c r="A69" s="70" t="s">
        <v>5</v>
      </c>
      <c r="B69" s="49" t="s">
        <v>6</v>
      </c>
      <c r="C69" s="2" t="s">
        <v>46</v>
      </c>
      <c r="D69" s="113">
        <f>D70+D85</f>
        <v>291188.127</v>
      </c>
      <c r="E69" s="113">
        <f>E70+E85</f>
        <v>228384.827</v>
      </c>
      <c r="F69" s="113">
        <f>F70+F85</f>
        <v>220883.456</v>
      </c>
      <c r="G69" s="66">
        <f t="shared" si="0"/>
        <v>96.71546875572432</v>
      </c>
      <c r="H69" s="66">
        <f t="shared" si="6"/>
        <v>75.8559280131638</v>
      </c>
      <c r="I69" s="66"/>
      <c r="J69" s="66"/>
      <c r="K69" s="67"/>
      <c r="L69" s="32" t="s">
        <v>77</v>
      </c>
    </row>
    <row r="70" spans="1:12" s="31" customFormat="1" ht="17.25" customHeight="1">
      <c r="A70" s="29"/>
      <c r="B70" s="30"/>
      <c r="C70" s="76" t="s">
        <v>39</v>
      </c>
      <c r="D70" s="107">
        <f>287816.327</f>
        <v>287816.327</v>
      </c>
      <c r="E70" s="107">
        <f>225804.667</f>
        <v>225804.667</v>
      </c>
      <c r="F70" s="107">
        <f>218320.149</f>
        <v>218320.149</v>
      </c>
      <c r="G70" s="65">
        <f t="shared" si="0"/>
        <v>96.68540154663854</v>
      </c>
      <c r="H70" s="65">
        <f t="shared" si="6"/>
        <v>75.85398343298294</v>
      </c>
      <c r="I70" s="65">
        <f>I71+I72+I73+I74+I75+I76+I77+I78+I80+I81+I82+I83+I84+I79</f>
        <v>282636.70900000003</v>
      </c>
      <c r="J70" s="65">
        <f aca="true" t="shared" si="9" ref="J70:J83">I70-D70</f>
        <v>-5179.617999999959</v>
      </c>
      <c r="K70" s="84">
        <f aca="true" t="shared" si="10" ref="K70:K83">I70/D70</f>
        <v>0.9820037380992637</v>
      </c>
      <c r="L70" s="21">
        <f>G70-95</f>
        <v>1.6854015466385448</v>
      </c>
    </row>
    <row r="71" spans="1:12" s="128" customFormat="1" ht="27" customHeight="1" hidden="1">
      <c r="A71" s="1" t="s">
        <v>5</v>
      </c>
      <c r="B71" s="134"/>
      <c r="C71" s="76" t="s">
        <v>105</v>
      </c>
      <c r="D71" s="158">
        <v>28656.3</v>
      </c>
      <c r="E71" s="158">
        <v>19088.78</v>
      </c>
      <c r="F71" s="158">
        <v>18201.928</v>
      </c>
      <c r="G71" s="159">
        <f t="shared" si="0"/>
        <v>95.35406662971651</v>
      </c>
      <c r="H71" s="159">
        <f t="shared" si="6"/>
        <v>63.518067580252854</v>
      </c>
      <c r="I71" s="160">
        <v>27595</v>
      </c>
      <c r="J71" s="160">
        <f t="shared" si="9"/>
        <v>-1061.2999999999993</v>
      </c>
      <c r="K71" s="161">
        <f t="shared" si="10"/>
        <v>0.9629645139114261</v>
      </c>
      <c r="L71" s="162"/>
    </row>
    <row r="72" spans="1:12" s="128" customFormat="1" ht="54" customHeight="1" hidden="1">
      <c r="A72" s="1" t="s">
        <v>5</v>
      </c>
      <c r="B72" s="134"/>
      <c r="C72" s="76" t="s">
        <v>166</v>
      </c>
      <c r="D72" s="158">
        <v>120</v>
      </c>
      <c r="E72" s="158">
        <v>120</v>
      </c>
      <c r="F72" s="158">
        <v>120</v>
      </c>
      <c r="G72" s="159">
        <f t="shared" si="0"/>
        <v>100</v>
      </c>
      <c r="H72" s="159">
        <f t="shared" si="6"/>
        <v>100</v>
      </c>
      <c r="I72" s="160">
        <v>120</v>
      </c>
      <c r="J72" s="160">
        <f>I72-D72</f>
        <v>0</v>
      </c>
      <c r="K72" s="161">
        <f>I72/D72</f>
        <v>1</v>
      </c>
      <c r="L72" s="162"/>
    </row>
    <row r="73" spans="1:12" s="128" customFormat="1" ht="38.25" customHeight="1" hidden="1">
      <c r="A73" s="1" t="s">
        <v>5</v>
      </c>
      <c r="B73" s="134"/>
      <c r="C73" s="76" t="s">
        <v>148</v>
      </c>
      <c r="D73" s="158">
        <v>352.3</v>
      </c>
      <c r="E73" s="158">
        <v>352.3</v>
      </c>
      <c r="F73" s="158">
        <v>352.3</v>
      </c>
      <c r="G73" s="159">
        <f>F73/E73*100</f>
        <v>100</v>
      </c>
      <c r="H73" s="159">
        <f t="shared" si="6"/>
        <v>100</v>
      </c>
      <c r="I73" s="160">
        <v>352.3</v>
      </c>
      <c r="J73" s="160">
        <f>I73-D73</f>
        <v>0</v>
      </c>
      <c r="K73" s="161">
        <f>I73/D73</f>
        <v>1</v>
      </c>
      <c r="L73" s="162"/>
    </row>
    <row r="74" spans="1:12" s="128" customFormat="1" ht="27" customHeight="1" hidden="1">
      <c r="A74" s="1" t="s">
        <v>5</v>
      </c>
      <c r="B74" s="134"/>
      <c r="C74" s="76" t="s">
        <v>108</v>
      </c>
      <c r="D74" s="158">
        <v>2302.499</v>
      </c>
      <c r="E74" s="158">
        <v>1637.799</v>
      </c>
      <c r="F74" s="158">
        <v>1615.207</v>
      </c>
      <c r="G74" s="159">
        <f t="shared" si="0"/>
        <v>98.62058775222113</v>
      </c>
      <c r="H74" s="159">
        <f t="shared" si="6"/>
        <v>70.15017161788127</v>
      </c>
      <c r="I74" s="160">
        <v>1836.287</v>
      </c>
      <c r="J74" s="160">
        <f t="shared" si="9"/>
        <v>-466.21199999999976</v>
      </c>
      <c r="K74" s="161">
        <f t="shared" si="10"/>
        <v>0.7975191303014681</v>
      </c>
      <c r="L74" s="162"/>
    </row>
    <row r="75" spans="1:12" s="128" customFormat="1" ht="27.75" customHeight="1" hidden="1">
      <c r="A75" s="1" t="s">
        <v>5</v>
      </c>
      <c r="B75" s="134"/>
      <c r="C75" s="76" t="s">
        <v>107</v>
      </c>
      <c r="D75" s="158">
        <v>694.1</v>
      </c>
      <c r="E75" s="158">
        <v>649.66</v>
      </c>
      <c r="F75" s="158">
        <v>632.75</v>
      </c>
      <c r="G75" s="159">
        <f aca="true" t="shared" si="11" ref="G75:G83">F75/E75*100</f>
        <v>97.39710002154975</v>
      </c>
      <c r="H75" s="159">
        <f t="shared" si="6"/>
        <v>91.1612159631177</v>
      </c>
      <c r="I75" s="160">
        <v>689.987</v>
      </c>
      <c r="J75" s="160">
        <f>I75-D75</f>
        <v>-4.113000000000056</v>
      </c>
      <c r="K75" s="161">
        <f>I75/D75</f>
        <v>0.994074340873073</v>
      </c>
      <c r="L75" s="162"/>
    </row>
    <row r="76" spans="1:12" s="128" customFormat="1" ht="27.75" customHeight="1" hidden="1">
      <c r="A76" s="1" t="s">
        <v>5</v>
      </c>
      <c r="B76" s="134"/>
      <c r="C76" s="76" t="s">
        <v>106</v>
      </c>
      <c r="D76" s="158">
        <v>1115.6</v>
      </c>
      <c r="E76" s="158">
        <v>850.792</v>
      </c>
      <c r="F76" s="158">
        <v>850.215</v>
      </c>
      <c r="G76" s="159">
        <f t="shared" si="11"/>
        <v>99.93218083855983</v>
      </c>
      <c r="H76" s="159">
        <f t="shared" si="6"/>
        <v>76.21145571889568</v>
      </c>
      <c r="I76" s="160">
        <v>1115.6</v>
      </c>
      <c r="J76" s="160">
        <f>I76-D76</f>
        <v>0</v>
      </c>
      <c r="K76" s="161">
        <f>I76/D76</f>
        <v>1</v>
      </c>
      <c r="L76" s="162"/>
    </row>
    <row r="77" spans="1:12" s="128" customFormat="1" ht="27" customHeight="1" hidden="1">
      <c r="A77" s="1" t="s">
        <v>5</v>
      </c>
      <c r="B77" s="134"/>
      <c r="C77" s="76" t="s">
        <v>109</v>
      </c>
      <c r="D77" s="158">
        <v>7224.261</v>
      </c>
      <c r="E77" s="158">
        <v>4936.526</v>
      </c>
      <c r="F77" s="158">
        <v>4863.883</v>
      </c>
      <c r="G77" s="159">
        <f t="shared" si="11"/>
        <v>98.52845908235872</v>
      </c>
      <c r="H77" s="159">
        <f t="shared" si="6"/>
        <v>67.32706639474958</v>
      </c>
      <c r="I77" s="160">
        <v>7106.411</v>
      </c>
      <c r="J77" s="160">
        <f t="shared" si="9"/>
        <v>-117.85000000000036</v>
      </c>
      <c r="K77" s="161">
        <f t="shared" si="10"/>
        <v>0.9836869127513527</v>
      </c>
      <c r="L77" s="162"/>
    </row>
    <row r="78" spans="1:12" s="128" customFormat="1" ht="26.25" customHeight="1" hidden="1">
      <c r="A78" s="1" t="s">
        <v>5</v>
      </c>
      <c r="B78" s="134"/>
      <c r="C78" s="76" t="s">
        <v>120</v>
      </c>
      <c r="D78" s="158">
        <v>671.3</v>
      </c>
      <c r="E78" s="158">
        <v>246.043</v>
      </c>
      <c r="F78" s="158">
        <v>246.043</v>
      </c>
      <c r="G78" s="159">
        <f t="shared" si="11"/>
        <v>100</v>
      </c>
      <c r="H78" s="159">
        <f t="shared" si="6"/>
        <v>36.651720542231494</v>
      </c>
      <c r="I78" s="160">
        <v>574.1</v>
      </c>
      <c r="J78" s="160">
        <f>I78-D78</f>
        <v>-97.19999999999993</v>
      </c>
      <c r="K78" s="161">
        <f>I78/D78</f>
        <v>0.8552063161030836</v>
      </c>
      <c r="L78" s="162"/>
    </row>
    <row r="79" spans="1:12" s="128" customFormat="1" ht="27" customHeight="1" hidden="1">
      <c r="A79" s="1" t="s">
        <v>5</v>
      </c>
      <c r="B79" s="134"/>
      <c r="C79" s="138" t="s">
        <v>173</v>
      </c>
      <c r="D79" s="158">
        <v>148.359</v>
      </c>
      <c r="E79" s="158">
        <v>0</v>
      </c>
      <c r="F79" s="158">
        <v>0</v>
      </c>
      <c r="G79" s="159">
        <v>0</v>
      </c>
      <c r="H79" s="159">
        <f t="shared" si="6"/>
        <v>0</v>
      </c>
      <c r="I79" s="160">
        <v>148.359</v>
      </c>
      <c r="J79" s="160">
        <f>I79-D79</f>
        <v>0</v>
      </c>
      <c r="K79" s="161">
        <f>I79/D79</f>
        <v>1</v>
      </c>
      <c r="L79" s="162"/>
    </row>
    <row r="80" spans="1:12" s="128" customFormat="1" ht="26.25" customHeight="1" hidden="1">
      <c r="A80" s="122" t="s">
        <v>5</v>
      </c>
      <c r="B80" s="123"/>
      <c r="C80" s="124" t="s">
        <v>176</v>
      </c>
      <c r="D80" s="158">
        <v>0</v>
      </c>
      <c r="E80" s="158">
        <v>0</v>
      </c>
      <c r="F80" s="158">
        <v>0</v>
      </c>
      <c r="G80" s="158">
        <v>0</v>
      </c>
      <c r="H80" s="158">
        <v>0</v>
      </c>
      <c r="I80" s="158">
        <v>0</v>
      </c>
      <c r="J80" s="158">
        <v>0</v>
      </c>
      <c r="K80" s="158">
        <v>0</v>
      </c>
      <c r="L80" s="162"/>
    </row>
    <row r="81" spans="1:12" s="128" customFormat="1" ht="27.75" customHeight="1" hidden="1">
      <c r="A81" s="1" t="s">
        <v>5</v>
      </c>
      <c r="B81" s="134"/>
      <c r="C81" s="138" t="s">
        <v>121</v>
      </c>
      <c r="D81" s="158">
        <v>237946.949</v>
      </c>
      <c r="E81" s="158">
        <v>166334.559</v>
      </c>
      <c r="F81" s="158">
        <v>161507.4</v>
      </c>
      <c r="G81" s="159">
        <f t="shared" si="11"/>
        <v>97.09792178545409</v>
      </c>
      <c r="H81" s="159">
        <f>F81/D81*100</f>
        <v>67.87538175158531</v>
      </c>
      <c r="I81" s="160">
        <v>235996.6</v>
      </c>
      <c r="J81" s="160">
        <f t="shared" si="9"/>
        <v>-1950.3489999999874</v>
      </c>
      <c r="K81" s="161">
        <f t="shared" si="10"/>
        <v>0.9918034292593515</v>
      </c>
      <c r="L81" s="162"/>
    </row>
    <row r="82" spans="1:12" s="128" customFormat="1" ht="29.25" customHeight="1" hidden="1">
      <c r="A82" s="1" t="s">
        <v>5</v>
      </c>
      <c r="B82" s="134"/>
      <c r="C82" s="141" t="s">
        <v>122</v>
      </c>
      <c r="D82" s="158">
        <v>1260.8</v>
      </c>
      <c r="E82" s="158">
        <v>840.575</v>
      </c>
      <c r="F82" s="158">
        <v>764.853</v>
      </c>
      <c r="G82" s="159">
        <f t="shared" si="11"/>
        <v>90.99164262558367</v>
      </c>
      <c r="H82" s="159">
        <f>F82/D82*100</f>
        <v>60.664102157360404</v>
      </c>
      <c r="I82" s="160">
        <v>1223</v>
      </c>
      <c r="J82" s="160">
        <f t="shared" si="9"/>
        <v>-37.799999999999955</v>
      </c>
      <c r="K82" s="161">
        <f t="shared" si="10"/>
        <v>0.970019035532995</v>
      </c>
      <c r="L82" s="162"/>
    </row>
    <row r="83" spans="1:13" s="128" customFormat="1" ht="27.75" customHeight="1" hidden="1">
      <c r="A83" s="1" t="s">
        <v>5</v>
      </c>
      <c r="B83" s="134"/>
      <c r="C83" s="138" t="s">
        <v>123</v>
      </c>
      <c r="D83" s="158">
        <v>1655.965</v>
      </c>
      <c r="E83" s="158">
        <v>1404.571</v>
      </c>
      <c r="F83" s="158">
        <v>1368.191</v>
      </c>
      <c r="G83" s="159">
        <f t="shared" si="11"/>
        <v>97.40988529593734</v>
      </c>
      <c r="H83" s="159">
        <f>F83/D83*100</f>
        <v>82.62197570600829</v>
      </c>
      <c r="I83" s="160">
        <v>1655.965</v>
      </c>
      <c r="J83" s="160">
        <f t="shared" si="9"/>
        <v>0</v>
      </c>
      <c r="K83" s="161">
        <f t="shared" si="10"/>
        <v>1</v>
      </c>
      <c r="L83" s="162"/>
      <c r="M83" s="16"/>
    </row>
    <row r="84" spans="1:12" s="128" customFormat="1" ht="53.25" customHeight="1" hidden="1">
      <c r="A84" s="1" t="s">
        <v>5</v>
      </c>
      <c r="B84" s="134"/>
      <c r="C84" s="76" t="s">
        <v>110</v>
      </c>
      <c r="D84" s="158">
        <v>4278.6</v>
      </c>
      <c r="E84" s="158">
        <v>2752.824</v>
      </c>
      <c r="F84" s="158">
        <v>2743.249</v>
      </c>
      <c r="G84" s="159">
        <f aca="true" t="shared" si="12" ref="G84:G89">F84/E84*100</f>
        <v>99.65217536609677</v>
      </c>
      <c r="H84" s="159">
        <f>F84/D84*100</f>
        <v>64.11557518814564</v>
      </c>
      <c r="I84" s="160">
        <v>4223.1</v>
      </c>
      <c r="J84" s="160">
        <f>I84-D84</f>
        <v>-55.5</v>
      </c>
      <c r="K84" s="161">
        <f>I84/D84</f>
        <v>0.9870284672556444</v>
      </c>
      <c r="L84" s="162"/>
    </row>
    <row r="85" spans="1:12" s="7" customFormat="1" ht="18" customHeight="1">
      <c r="A85" s="27"/>
      <c r="B85" s="28"/>
      <c r="C85" s="76" t="s">
        <v>40</v>
      </c>
      <c r="D85" s="107">
        <v>3371.8</v>
      </c>
      <c r="E85" s="107">
        <v>2580.16</v>
      </c>
      <c r="F85" s="107">
        <v>2563.307</v>
      </c>
      <c r="G85" s="65">
        <f t="shared" si="12"/>
        <v>99.34682345280913</v>
      </c>
      <c r="H85" s="65">
        <f>F85/D85*100</f>
        <v>76.02191707693218</v>
      </c>
      <c r="I85" s="65"/>
      <c r="J85" s="65"/>
      <c r="K85" s="84"/>
      <c r="L85" s="21">
        <f>G85-95</f>
        <v>4.346823452809133</v>
      </c>
    </row>
    <row r="86" spans="1:12" s="7" customFormat="1" ht="28.5" customHeight="1">
      <c r="A86" s="231" t="s">
        <v>7</v>
      </c>
      <c r="B86" s="2" t="s">
        <v>8</v>
      </c>
      <c r="C86" s="2" t="s">
        <v>47</v>
      </c>
      <c r="D86" s="113">
        <f>D87+D102</f>
        <v>369823.23400000005</v>
      </c>
      <c r="E86" s="113">
        <f>E87+E102</f>
        <v>286362.531</v>
      </c>
      <c r="F86" s="113">
        <f>F87+F102</f>
        <v>280136.853</v>
      </c>
      <c r="G86" s="66">
        <f t="shared" si="12"/>
        <v>97.82594532243465</v>
      </c>
      <c r="H86" s="66">
        <f aca="true" t="shared" si="13" ref="H86:H101">F86/D86*100</f>
        <v>75.74885167977303</v>
      </c>
      <c r="I86" s="66"/>
      <c r="J86" s="66"/>
      <c r="K86" s="67"/>
      <c r="L86" s="32" t="s">
        <v>77</v>
      </c>
    </row>
    <row r="87" spans="1:12" s="31" customFormat="1" ht="16.5" customHeight="1">
      <c r="A87" s="232"/>
      <c r="B87" s="30"/>
      <c r="C87" s="76" t="s">
        <v>39</v>
      </c>
      <c r="D87" s="234">
        <f>370053.194-6313.36</f>
        <v>363739.83400000003</v>
      </c>
      <c r="E87" s="234">
        <f>283757.063-2373.742</f>
        <v>281383.321</v>
      </c>
      <c r="F87" s="234">
        <f>275344.556-0</f>
        <v>275344.556</v>
      </c>
      <c r="G87" s="235">
        <f t="shared" si="12"/>
        <v>97.85390087140239</v>
      </c>
      <c r="H87" s="235">
        <f t="shared" si="13"/>
        <v>75.6982134653968</v>
      </c>
      <c r="I87" s="65">
        <f>I88+I89+I90+I91+I92+I93+I94+I95+I97+I98+I99+I100+I101+I96</f>
        <v>359218.803</v>
      </c>
      <c r="J87" s="65">
        <f aca="true" t="shared" si="14" ref="J87:J101">I87-D87</f>
        <v>-4521.031000000017</v>
      </c>
      <c r="K87" s="84">
        <f aca="true" t="shared" si="15" ref="K87:K101">I87/D87</f>
        <v>0.9875707014261187</v>
      </c>
      <c r="L87" s="21">
        <f>G87-95</f>
        <v>2.853900871402388</v>
      </c>
    </row>
    <row r="88" spans="1:14" s="128" customFormat="1" ht="26.25" customHeight="1" hidden="1">
      <c r="A88" s="231" t="s">
        <v>7</v>
      </c>
      <c r="B88" s="134"/>
      <c r="C88" s="76" t="s">
        <v>105</v>
      </c>
      <c r="D88" s="158">
        <v>36790</v>
      </c>
      <c r="E88" s="158">
        <v>24184.817</v>
      </c>
      <c r="F88" s="160">
        <v>23887.793</v>
      </c>
      <c r="G88" s="159">
        <f t="shared" si="12"/>
        <v>98.77185756667087</v>
      </c>
      <c r="H88" s="159">
        <f t="shared" si="13"/>
        <v>64.93012503397662</v>
      </c>
      <c r="I88" s="160">
        <v>35936.7</v>
      </c>
      <c r="J88" s="160">
        <f t="shared" si="14"/>
        <v>-853.3000000000029</v>
      </c>
      <c r="K88" s="161">
        <f t="shared" si="15"/>
        <v>0.9768061973362326</v>
      </c>
      <c r="L88" s="162"/>
      <c r="M88" s="16"/>
      <c r="N88" s="16"/>
    </row>
    <row r="89" spans="1:12" s="128" customFormat="1" ht="54" customHeight="1" hidden="1">
      <c r="A89" s="231" t="s">
        <v>7</v>
      </c>
      <c r="B89" s="134"/>
      <c r="C89" s="76" t="s">
        <v>166</v>
      </c>
      <c r="D89" s="158">
        <v>160</v>
      </c>
      <c r="E89" s="158">
        <v>108.276</v>
      </c>
      <c r="F89" s="158">
        <v>94.276</v>
      </c>
      <c r="G89" s="159">
        <f t="shared" si="12"/>
        <v>87.07008016550297</v>
      </c>
      <c r="H89" s="159">
        <f t="shared" si="13"/>
        <v>58.9225</v>
      </c>
      <c r="I89" s="160">
        <v>131.6</v>
      </c>
      <c r="J89" s="160">
        <f t="shared" si="14"/>
        <v>-28.400000000000006</v>
      </c>
      <c r="K89" s="161">
        <f t="shared" si="15"/>
        <v>0.8225</v>
      </c>
      <c r="L89" s="162"/>
    </row>
    <row r="90" spans="1:12" s="128" customFormat="1" ht="39.75" customHeight="1" hidden="1">
      <c r="A90" s="231" t="s">
        <v>7</v>
      </c>
      <c r="B90" s="134"/>
      <c r="C90" s="76" t="s">
        <v>148</v>
      </c>
      <c r="D90" s="158">
        <v>433.4</v>
      </c>
      <c r="E90" s="158">
        <v>433.4</v>
      </c>
      <c r="F90" s="158">
        <v>0</v>
      </c>
      <c r="G90" s="159">
        <f>F90/E90*100</f>
        <v>0</v>
      </c>
      <c r="H90" s="159">
        <f>F90/D90*100</f>
        <v>0</v>
      </c>
      <c r="I90" s="160">
        <v>0</v>
      </c>
      <c r="J90" s="160">
        <f t="shared" si="14"/>
        <v>-433.4</v>
      </c>
      <c r="K90" s="161">
        <f t="shared" si="15"/>
        <v>0</v>
      </c>
      <c r="L90" s="162"/>
    </row>
    <row r="91" spans="1:12" s="125" customFormat="1" ht="26.25" customHeight="1" hidden="1">
      <c r="A91" s="231" t="s">
        <v>7</v>
      </c>
      <c r="B91" s="134"/>
      <c r="C91" s="76" t="s">
        <v>108</v>
      </c>
      <c r="D91" s="158">
        <v>7237.8</v>
      </c>
      <c r="E91" s="158">
        <v>3934.2</v>
      </c>
      <c r="F91" s="158">
        <v>3807.471</v>
      </c>
      <c r="G91" s="159">
        <f aca="true" t="shared" si="16" ref="G91:G101">F91/E91*100</f>
        <v>96.77878603019674</v>
      </c>
      <c r="H91" s="159">
        <f t="shared" si="13"/>
        <v>52.60536350824836</v>
      </c>
      <c r="I91" s="160">
        <v>5525.205</v>
      </c>
      <c r="J91" s="160">
        <f t="shared" si="14"/>
        <v>-1712.5950000000003</v>
      </c>
      <c r="K91" s="161">
        <f t="shared" si="15"/>
        <v>0.7633818287324877</v>
      </c>
      <c r="L91" s="162"/>
    </row>
    <row r="92" spans="1:12" s="125" customFormat="1" ht="26.25" customHeight="1" hidden="1">
      <c r="A92" s="231" t="s">
        <v>7</v>
      </c>
      <c r="B92" s="134"/>
      <c r="C92" s="76" t="s">
        <v>107</v>
      </c>
      <c r="D92" s="158">
        <v>2690.8</v>
      </c>
      <c r="E92" s="158">
        <v>2620.8</v>
      </c>
      <c r="F92" s="158">
        <v>2620.786</v>
      </c>
      <c r="G92" s="159">
        <f t="shared" si="16"/>
        <v>99.9994658119658</v>
      </c>
      <c r="H92" s="159">
        <f t="shared" si="13"/>
        <v>97.39802289281998</v>
      </c>
      <c r="I92" s="160">
        <v>2620.786</v>
      </c>
      <c r="J92" s="160">
        <f t="shared" si="14"/>
        <v>-70.01400000000012</v>
      </c>
      <c r="K92" s="161">
        <f t="shared" si="15"/>
        <v>0.9739802289281998</v>
      </c>
      <c r="L92" s="162"/>
    </row>
    <row r="93" spans="1:12" s="125" customFormat="1" ht="27" customHeight="1" hidden="1">
      <c r="A93" s="231" t="s">
        <v>7</v>
      </c>
      <c r="B93" s="134"/>
      <c r="C93" s="76" t="s">
        <v>106</v>
      </c>
      <c r="D93" s="158">
        <v>4620</v>
      </c>
      <c r="E93" s="158">
        <v>3469.1</v>
      </c>
      <c r="F93" s="158">
        <v>2973.6</v>
      </c>
      <c r="G93" s="159">
        <f t="shared" si="16"/>
        <v>85.71675650745149</v>
      </c>
      <c r="H93" s="159">
        <f t="shared" si="13"/>
        <v>64.36363636363636</v>
      </c>
      <c r="I93" s="160">
        <v>4362.204</v>
      </c>
      <c r="J93" s="160">
        <f t="shared" si="14"/>
        <v>-257.7960000000003</v>
      </c>
      <c r="K93" s="161">
        <f t="shared" si="15"/>
        <v>0.9441999999999999</v>
      </c>
      <c r="L93" s="162"/>
    </row>
    <row r="94" spans="1:12" s="125" customFormat="1" ht="27" customHeight="1" hidden="1">
      <c r="A94" s="231" t="s">
        <v>7</v>
      </c>
      <c r="B94" s="134"/>
      <c r="C94" s="76" t="s">
        <v>109</v>
      </c>
      <c r="D94" s="158">
        <v>1635.116</v>
      </c>
      <c r="E94" s="158">
        <v>1261.611</v>
      </c>
      <c r="F94" s="158">
        <v>1261.604</v>
      </c>
      <c r="G94" s="159">
        <f t="shared" si="16"/>
        <v>99.99944515385486</v>
      </c>
      <c r="H94" s="159">
        <f t="shared" si="13"/>
        <v>77.1568500338814</v>
      </c>
      <c r="I94" s="160">
        <v>1635.108</v>
      </c>
      <c r="J94" s="160">
        <f t="shared" si="14"/>
        <v>-0.008000000000038199</v>
      </c>
      <c r="K94" s="161">
        <f t="shared" si="15"/>
        <v>0.9999951073807607</v>
      </c>
      <c r="L94" s="162"/>
    </row>
    <row r="95" spans="1:12" s="125" customFormat="1" ht="27" customHeight="1" hidden="1">
      <c r="A95" s="231" t="s">
        <v>7</v>
      </c>
      <c r="B95" s="134"/>
      <c r="C95" s="76" t="s">
        <v>120</v>
      </c>
      <c r="D95" s="158">
        <v>984.3</v>
      </c>
      <c r="E95" s="158">
        <v>0</v>
      </c>
      <c r="F95" s="158">
        <v>0</v>
      </c>
      <c r="G95" s="159">
        <v>0</v>
      </c>
      <c r="H95" s="159">
        <f t="shared" si="13"/>
        <v>0</v>
      </c>
      <c r="I95" s="160">
        <v>489.7</v>
      </c>
      <c r="J95" s="160">
        <f t="shared" si="14"/>
        <v>-494.59999999999997</v>
      </c>
      <c r="K95" s="161">
        <f t="shared" si="15"/>
        <v>0.4975109214670324</v>
      </c>
      <c r="L95" s="162"/>
    </row>
    <row r="96" spans="1:12" s="125" customFormat="1" ht="27" customHeight="1" hidden="1">
      <c r="A96" s="231" t="s">
        <v>7</v>
      </c>
      <c r="B96" s="134"/>
      <c r="C96" s="138" t="s">
        <v>173</v>
      </c>
      <c r="D96" s="158">
        <v>2373.742</v>
      </c>
      <c r="E96" s="158">
        <v>0</v>
      </c>
      <c r="F96" s="158">
        <v>0</v>
      </c>
      <c r="G96" s="159">
        <v>0</v>
      </c>
      <c r="H96" s="159">
        <f t="shared" si="13"/>
        <v>0</v>
      </c>
      <c r="I96" s="160">
        <v>2373.7</v>
      </c>
      <c r="J96" s="160">
        <f>I96-D96</f>
        <v>-0.042000000000371074</v>
      </c>
      <c r="K96" s="161">
        <f>I96/D96</f>
        <v>0.9999823064174622</v>
      </c>
      <c r="L96" s="162"/>
    </row>
    <row r="97" spans="1:12" s="128" customFormat="1" ht="26.25" customHeight="1" hidden="1">
      <c r="A97" s="231" t="s">
        <v>7</v>
      </c>
      <c r="B97" s="134"/>
      <c r="C97" s="76" t="s">
        <v>176</v>
      </c>
      <c r="D97" s="158">
        <v>1885</v>
      </c>
      <c r="E97" s="158">
        <v>1025</v>
      </c>
      <c r="F97" s="158">
        <v>885.05</v>
      </c>
      <c r="G97" s="159">
        <f t="shared" si="16"/>
        <v>86.34634146341463</v>
      </c>
      <c r="H97" s="159">
        <f t="shared" si="13"/>
        <v>46.95225464190981</v>
      </c>
      <c r="I97" s="160">
        <v>1402.5</v>
      </c>
      <c r="J97" s="160">
        <f t="shared" si="14"/>
        <v>-482.5</v>
      </c>
      <c r="K97" s="161">
        <f t="shared" si="15"/>
        <v>0.7440318302387268</v>
      </c>
      <c r="L97" s="162"/>
    </row>
    <row r="98" spans="1:12" s="128" customFormat="1" ht="28.5" customHeight="1" hidden="1">
      <c r="A98" s="231" t="s">
        <v>7</v>
      </c>
      <c r="B98" s="134"/>
      <c r="C98" s="138" t="s">
        <v>121</v>
      </c>
      <c r="D98" s="158">
        <v>297220.287</v>
      </c>
      <c r="E98" s="158">
        <v>177652.014</v>
      </c>
      <c r="F98" s="158">
        <v>169940.557</v>
      </c>
      <c r="G98" s="159">
        <f t="shared" si="16"/>
        <v>95.65923468787695</v>
      </c>
      <c r="H98" s="159">
        <f t="shared" si="13"/>
        <v>57.17663444689426</v>
      </c>
      <c r="I98" s="160">
        <v>294394</v>
      </c>
      <c r="J98" s="160">
        <f t="shared" si="14"/>
        <v>-2826.287000000011</v>
      </c>
      <c r="K98" s="161">
        <f t="shared" si="15"/>
        <v>0.9904909350955575</v>
      </c>
      <c r="L98" s="162"/>
    </row>
    <row r="99" spans="1:12" s="128" customFormat="1" ht="27" customHeight="1" hidden="1">
      <c r="A99" s="231" t="s">
        <v>7</v>
      </c>
      <c r="B99" s="134"/>
      <c r="C99" s="141" t="s">
        <v>122</v>
      </c>
      <c r="D99" s="158">
        <v>2018.8</v>
      </c>
      <c r="E99" s="158">
        <v>2018.8</v>
      </c>
      <c r="F99" s="158">
        <v>2008.701</v>
      </c>
      <c r="G99" s="159">
        <f t="shared" si="16"/>
        <v>99.49975232811572</v>
      </c>
      <c r="H99" s="159">
        <f t="shared" si="13"/>
        <v>99.49975232811572</v>
      </c>
      <c r="I99" s="160">
        <v>2018.8</v>
      </c>
      <c r="J99" s="160">
        <f t="shared" si="14"/>
        <v>0</v>
      </c>
      <c r="K99" s="161">
        <f t="shared" si="15"/>
        <v>1</v>
      </c>
      <c r="L99" s="162"/>
    </row>
    <row r="100" spans="1:12" s="128" customFormat="1" ht="27.75" customHeight="1" hidden="1">
      <c r="A100" s="231" t="s">
        <v>7</v>
      </c>
      <c r="B100" s="134"/>
      <c r="C100" s="138" t="s">
        <v>123</v>
      </c>
      <c r="D100" s="158">
        <v>270.2</v>
      </c>
      <c r="E100" s="158">
        <v>143.5</v>
      </c>
      <c r="F100" s="158">
        <v>143.5</v>
      </c>
      <c r="G100" s="159">
        <f t="shared" si="16"/>
        <v>100</v>
      </c>
      <c r="H100" s="159">
        <f t="shared" si="13"/>
        <v>53.10880829015544</v>
      </c>
      <c r="I100" s="160">
        <v>270.2</v>
      </c>
      <c r="J100" s="160">
        <f t="shared" si="14"/>
        <v>0</v>
      </c>
      <c r="K100" s="161">
        <f t="shared" si="15"/>
        <v>1</v>
      </c>
      <c r="L100" s="162"/>
    </row>
    <row r="101" spans="1:13" s="125" customFormat="1" ht="53.25" customHeight="1" hidden="1">
      <c r="A101" s="231" t="s">
        <v>7</v>
      </c>
      <c r="B101" s="134"/>
      <c r="C101" s="76" t="s">
        <v>110</v>
      </c>
      <c r="D101" s="158">
        <v>9335.1</v>
      </c>
      <c r="E101" s="158">
        <v>5397.347</v>
      </c>
      <c r="F101" s="158">
        <v>5150.616</v>
      </c>
      <c r="G101" s="159">
        <f t="shared" si="16"/>
        <v>95.4286615257459</v>
      </c>
      <c r="H101" s="159">
        <f t="shared" si="13"/>
        <v>55.17472764083941</v>
      </c>
      <c r="I101" s="160">
        <v>8058.3</v>
      </c>
      <c r="J101" s="160">
        <f t="shared" si="14"/>
        <v>-1276.8000000000002</v>
      </c>
      <c r="K101" s="161">
        <f t="shared" si="15"/>
        <v>0.8632258893852235</v>
      </c>
      <c r="L101" s="162"/>
      <c r="M101" s="7"/>
    </row>
    <row r="102" spans="1:12" s="7" customFormat="1" ht="18" customHeight="1">
      <c r="A102" s="233"/>
      <c r="B102" s="28"/>
      <c r="C102" s="76" t="s">
        <v>40</v>
      </c>
      <c r="D102" s="107">
        <v>6083.4</v>
      </c>
      <c r="E102" s="107">
        <v>4979.21</v>
      </c>
      <c r="F102" s="171">
        <v>4792.297</v>
      </c>
      <c r="G102" s="65">
        <f aca="true" t="shared" si="17" ref="G102:G111">F102/E102*100</f>
        <v>96.24613141442116</v>
      </c>
      <c r="H102" s="65">
        <f aca="true" t="shared" si="18" ref="H102:H111">F102/D102*100</f>
        <v>78.77662162606437</v>
      </c>
      <c r="I102" s="65"/>
      <c r="J102" s="65"/>
      <c r="K102" s="84"/>
      <c r="L102" s="21">
        <f>G102-95</f>
        <v>1.246131414421157</v>
      </c>
    </row>
    <row r="103" spans="1:12" s="7" customFormat="1" ht="28.5" customHeight="1">
      <c r="A103" s="231" t="s">
        <v>9</v>
      </c>
      <c r="B103" s="2" t="s">
        <v>10</v>
      </c>
      <c r="C103" s="2" t="s">
        <v>48</v>
      </c>
      <c r="D103" s="113">
        <f>D104+D119</f>
        <v>437912.952</v>
      </c>
      <c r="E103" s="113">
        <f>E104+E119</f>
        <v>348091.778</v>
      </c>
      <c r="F103" s="113">
        <f>F104+F119</f>
        <v>286406.509</v>
      </c>
      <c r="G103" s="66">
        <f t="shared" si="17"/>
        <v>82.27902154011808</v>
      </c>
      <c r="H103" s="66">
        <f t="shared" si="18"/>
        <v>65.40261202413579</v>
      </c>
      <c r="I103" s="66"/>
      <c r="J103" s="66"/>
      <c r="K103" s="67"/>
      <c r="L103" s="32" t="s">
        <v>77</v>
      </c>
    </row>
    <row r="104" spans="1:12" s="31" customFormat="1" ht="26.25" customHeight="1">
      <c r="A104" s="29"/>
      <c r="B104" s="30"/>
      <c r="C104" s="76" t="s">
        <v>39</v>
      </c>
      <c r="D104" s="234">
        <f>435007.67-2878.118</f>
        <v>432129.55199999997</v>
      </c>
      <c r="E104" s="234">
        <f>344519.941-623.107</f>
        <v>343896.834</v>
      </c>
      <c r="F104" s="234">
        <f>282485.332-0</f>
        <v>282485.332</v>
      </c>
      <c r="G104" s="235">
        <f t="shared" si="17"/>
        <v>82.1424636901426</v>
      </c>
      <c r="H104" s="235">
        <f t="shared" si="18"/>
        <v>65.37051925576245</v>
      </c>
      <c r="I104" s="65">
        <f>I105+I106+I108+I109+I110+I111+I112+I114+I115+I116+I117+I118+I113</f>
        <v>381571.004</v>
      </c>
      <c r="J104" s="65">
        <f aca="true" t="shared" si="19" ref="J104:J111">I104-D104</f>
        <v>-50558.54799999995</v>
      </c>
      <c r="K104" s="84">
        <f aca="true" t="shared" si="20" ref="K104:K111">I104/D104</f>
        <v>0.8830014106510357</v>
      </c>
      <c r="L104" s="21">
        <f>G104-95</f>
        <v>-12.857536309857394</v>
      </c>
    </row>
    <row r="105" spans="1:13" s="128" customFormat="1" ht="30" customHeight="1" hidden="1">
      <c r="A105" s="1" t="s">
        <v>9</v>
      </c>
      <c r="B105" s="134"/>
      <c r="C105" s="76" t="s">
        <v>105</v>
      </c>
      <c r="D105" s="158">
        <v>34262.36</v>
      </c>
      <c r="E105" s="158">
        <v>22830.629</v>
      </c>
      <c r="F105" s="160">
        <v>20834.033</v>
      </c>
      <c r="G105" s="159">
        <f t="shared" si="17"/>
        <v>91.25474817185281</v>
      </c>
      <c r="H105" s="159">
        <f t="shared" si="18"/>
        <v>60.80734952291669</v>
      </c>
      <c r="I105" s="160">
        <v>33017.5</v>
      </c>
      <c r="J105" s="160">
        <f t="shared" si="19"/>
        <v>-1244.8600000000006</v>
      </c>
      <c r="K105" s="161">
        <f t="shared" si="20"/>
        <v>0.9636668343920267</v>
      </c>
      <c r="L105" s="162"/>
      <c r="M105" s="16"/>
    </row>
    <row r="106" spans="1:13" s="128" customFormat="1" ht="54" customHeight="1" hidden="1">
      <c r="A106" s="1" t="s">
        <v>9</v>
      </c>
      <c r="B106" s="134"/>
      <c r="C106" s="76" t="s">
        <v>166</v>
      </c>
      <c r="D106" s="158">
        <v>1400</v>
      </c>
      <c r="E106" s="158">
        <v>301.625</v>
      </c>
      <c r="F106" s="160">
        <v>127.028</v>
      </c>
      <c r="G106" s="159">
        <f t="shared" si="17"/>
        <v>42.11454620803979</v>
      </c>
      <c r="H106" s="159">
        <f t="shared" si="18"/>
        <v>9.073428571428572</v>
      </c>
      <c r="I106" s="160">
        <v>761</v>
      </c>
      <c r="J106" s="160">
        <f>I106-D106</f>
        <v>-639</v>
      </c>
      <c r="K106" s="161">
        <f>I106/D106</f>
        <v>0.5435714285714286</v>
      </c>
      <c r="L106" s="162"/>
      <c r="M106" s="16"/>
    </row>
    <row r="107" spans="1:12" s="128" customFormat="1" ht="39.75" customHeight="1" hidden="1">
      <c r="A107" s="1" t="s">
        <v>9</v>
      </c>
      <c r="B107" s="134"/>
      <c r="C107" s="76" t="s">
        <v>148</v>
      </c>
      <c r="D107" s="158">
        <v>15</v>
      </c>
      <c r="E107" s="158">
        <v>0</v>
      </c>
      <c r="F107" s="160">
        <v>0</v>
      </c>
      <c r="G107" s="159">
        <v>0</v>
      </c>
      <c r="H107" s="159">
        <f>F107/D107*100</f>
        <v>0</v>
      </c>
      <c r="I107" s="160">
        <v>0</v>
      </c>
      <c r="J107" s="160">
        <f>I107-D107</f>
        <v>-15</v>
      </c>
      <c r="K107" s="161">
        <f>I107/D107</f>
        <v>0</v>
      </c>
      <c r="L107" s="162"/>
    </row>
    <row r="108" spans="1:12" s="128" customFormat="1" ht="27" customHeight="1" hidden="1">
      <c r="A108" s="1" t="s">
        <v>9</v>
      </c>
      <c r="B108" s="134"/>
      <c r="C108" s="76" t="s">
        <v>108</v>
      </c>
      <c r="D108" s="158">
        <v>8024.8</v>
      </c>
      <c r="E108" s="158">
        <v>4898.5</v>
      </c>
      <c r="F108" s="158">
        <v>3836.8</v>
      </c>
      <c r="G108" s="159">
        <f t="shared" si="17"/>
        <v>78.32601816882719</v>
      </c>
      <c r="H108" s="159">
        <f t="shared" si="18"/>
        <v>47.81178347123916</v>
      </c>
      <c r="I108" s="160">
        <v>6605.061</v>
      </c>
      <c r="J108" s="160">
        <f t="shared" si="19"/>
        <v>-1419.7390000000005</v>
      </c>
      <c r="K108" s="161">
        <f t="shared" si="20"/>
        <v>0.823081073671618</v>
      </c>
      <c r="L108" s="162"/>
    </row>
    <row r="109" spans="1:12" s="128" customFormat="1" ht="26.25" customHeight="1" hidden="1">
      <c r="A109" s="1" t="s">
        <v>9</v>
      </c>
      <c r="B109" s="134"/>
      <c r="C109" s="76" t="s">
        <v>107</v>
      </c>
      <c r="D109" s="158">
        <v>2769.6</v>
      </c>
      <c r="E109" s="158">
        <v>2741.1</v>
      </c>
      <c r="F109" s="158">
        <v>2687.767</v>
      </c>
      <c r="G109" s="159">
        <f t="shared" si="17"/>
        <v>98.05432125788917</v>
      </c>
      <c r="H109" s="159">
        <f t="shared" si="18"/>
        <v>97.04531340265741</v>
      </c>
      <c r="I109" s="160">
        <v>2741.1</v>
      </c>
      <c r="J109" s="160">
        <f t="shared" si="19"/>
        <v>-28.5</v>
      </c>
      <c r="K109" s="161">
        <f t="shared" si="20"/>
        <v>0.9897097053726169</v>
      </c>
      <c r="L109" s="162"/>
    </row>
    <row r="110" spans="1:12" s="128" customFormat="1" ht="27" customHeight="1" hidden="1">
      <c r="A110" s="1" t="s">
        <v>9</v>
      </c>
      <c r="B110" s="134"/>
      <c r="C110" s="76" t="s">
        <v>106</v>
      </c>
      <c r="D110" s="158">
        <v>4079.5</v>
      </c>
      <c r="E110" s="158">
        <v>2893.882</v>
      </c>
      <c r="F110" s="158">
        <v>1882.203</v>
      </c>
      <c r="G110" s="159">
        <f t="shared" si="17"/>
        <v>65.04076531109423</v>
      </c>
      <c r="H110" s="159">
        <f t="shared" si="18"/>
        <v>46.13808064713813</v>
      </c>
      <c r="I110" s="160">
        <v>3357.292</v>
      </c>
      <c r="J110" s="160">
        <f t="shared" si="19"/>
        <v>-722.2080000000001</v>
      </c>
      <c r="K110" s="161">
        <f t="shared" si="20"/>
        <v>0.822966540017159</v>
      </c>
      <c r="L110" s="162"/>
    </row>
    <row r="111" spans="1:12" s="128" customFormat="1" ht="27" customHeight="1" hidden="1">
      <c r="A111" s="1" t="s">
        <v>9</v>
      </c>
      <c r="B111" s="134"/>
      <c r="C111" s="76" t="s">
        <v>109</v>
      </c>
      <c r="D111" s="158">
        <v>5480.358</v>
      </c>
      <c r="E111" s="158">
        <v>5050.437</v>
      </c>
      <c r="F111" s="158">
        <v>4980.73</v>
      </c>
      <c r="G111" s="159">
        <f t="shared" si="17"/>
        <v>98.61978280295348</v>
      </c>
      <c r="H111" s="159">
        <f t="shared" si="18"/>
        <v>90.88329631020454</v>
      </c>
      <c r="I111" s="160">
        <v>5389.351</v>
      </c>
      <c r="J111" s="160">
        <f t="shared" si="19"/>
        <v>-91.00700000000052</v>
      </c>
      <c r="K111" s="161">
        <f t="shared" si="20"/>
        <v>0.9833939680582909</v>
      </c>
      <c r="L111" s="162"/>
    </row>
    <row r="112" spans="1:12" s="128" customFormat="1" ht="27.75" customHeight="1" hidden="1">
      <c r="A112" s="1" t="s">
        <v>9</v>
      </c>
      <c r="B112" s="134"/>
      <c r="C112" s="76" t="s">
        <v>120</v>
      </c>
      <c r="D112" s="158">
        <v>984.3</v>
      </c>
      <c r="E112" s="158">
        <v>0</v>
      </c>
      <c r="F112" s="158">
        <v>0</v>
      </c>
      <c r="G112" s="159">
        <v>0</v>
      </c>
      <c r="H112" s="159">
        <f aca="true" t="shared" si="21" ref="H112:H118">F112/D112*100</f>
        <v>0</v>
      </c>
      <c r="I112" s="160">
        <v>984.3</v>
      </c>
      <c r="J112" s="160">
        <f aca="true" t="shared" si="22" ref="J112:J118">I112-D112</f>
        <v>0</v>
      </c>
      <c r="K112" s="161">
        <f aca="true" t="shared" si="23" ref="K112:K118">I112/D112</f>
        <v>1</v>
      </c>
      <c r="L112" s="162"/>
    </row>
    <row r="113" spans="1:12" s="128" customFormat="1" ht="27.75" customHeight="1" hidden="1">
      <c r="A113" s="1" t="s">
        <v>9</v>
      </c>
      <c r="B113" s="134"/>
      <c r="C113" s="138" t="s">
        <v>173</v>
      </c>
      <c r="D113" s="158">
        <v>623.107</v>
      </c>
      <c r="E113" s="158">
        <v>0</v>
      </c>
      <c r="F113" s="158">
        <v>0</v>
      </c>
      <c r="G113" s="159">
        <v>0</v>
      </c>
      <c r="H113" s="159">
        <f t="shared" si="21"/>
        <v>0</v>
      </c>
      <c r="I113" s="160">
        <v>0</v>
      </c>
      <c r="J113" s="160">
        <f>I113-D113</f>
        <v>-623.107</v>
      </c>
      <c r="K113" s="161">
        <f>I113/D113</f>
        <v>0</v>
      </c>
      <c r="L113" s="162"/>
    </row>
    <row r="114" spans="1:12" s="128" customFormat="1" ht="26.25" customHeight="1" hidden="1">
      <c r="A114" s="1" t="s">
        <v>9</v>
      </c>
      <c r="B114" s="134"/>
      <c r="C114" s="76" t="s">
        <v>176</v>
      </c>
      <c r="D114" s="158">
        <v>88.1</v>
      </c>
      <c r="E114" s="158">
        <v>88.1</v>
      </c>
      <c r="F114" s="158">
        <v>88</v>
      </c>
      <c r="G114" s="159">
        <f>F114/E114*100</f>
        <v>99.88649262202044</v>
      </c>
      <c r="H114" s="159">
        <f t="shared" si="21"/>
        <v>99.88649262202044</v>
      </c>
      <c r="I114" s="160">
        <v>88</v>
      </c>
      <c r="J114" s="160">
        <f t="shared" si="22"/>
        <v>-0.09999999999999432</v>
      </c>
      <c r="K114" s="161">
        <f t="shared" si="23"/>
        <v>0.9988649262202044</v>
      </c>
      <c r="L114" s="162"/>
    </row>
    <row r="115" spans="1:12" s="128" customFormat="1" ht="27" customHeight="1" hidden="1">
      <c r="A115" s="1" t="s">
        <v>9</v>
      </c>
      <c r="B115" s="134"/>
      <c r="C115" s="138" t="s">
        <v>121</v>
      </c>
      <c r="D115" s="158">
        <v>338771.123</v>
      </c>
      <c r="E115" s="158">
        <v>196634.54</v>
      </c>
      <c r="F115" s="158">
        <v>181077.806</v>
      </c>
      <c r="G115" s="159">
        <f>F115/E115*100</f>
        <v>92.08850388136285</v>
      </c>
      <c r="H115" s="159">
        <f t="shared" si="21"/>
        <v>53.45136987959862</v>
      </c>
      <c r="I115" s="160">
        <v>318829.2</v>
      </c>
      <c r="J115" s="160">
        <f t="shared" si="22"/>
        <v>-19941.92300000001</v>
      </c>
      <c r="K115" s="161">
        <f t="shared" si="23"/>
        <v>0.9411345252115836</v>
      </c>
      <c r="L115" s="162"/>
    </row>
    <row r="116" spans="1:12" s="128" customFormat="1" ht="27" customHeight="1" hidden="1">
      <c r="A116" s="1" t="s">
        <v>9</v>
      </c>
      <c r="B116" s="134"/>
      <c r="C116" s="141" t="s">
        <v>122</v>
      </c>
      <c r="D116" s="158">
        <v>155.6</v>
      </c>
      <c r="E116" s="158">
        <v>155.6</v>
      </c>
      <c r="F116" s="158">
        <v>0</v>
      </c>
      <c r="G116" s="159">
        <f>F116/E116*100</f>
        <v>0</v>
      </c>
      <c r="H116" s="159">
        <f t="shared" si="21"/>
        <v>0</v>
      </c>
      <c r="I116" s="160">
        <v>155.6</v>
      </c>
      <c r="J116" s="160">
        <f t="shared" si="22"/>
        <v>0</v>
      </c>
      <c r="K116" s="161">
        <f t="shared" si="23"/>
        <v>1</v>
      </c>
      <c r="L116" s="162"/>
    </row>
    <row r="117" spans="1:12" s="128" customFormat="1" ht="27.75" customHeight="1" hidden="1">
      <c r="A117" s="1" t="s">
        <v>9</v>
      </c>
      <c r="B117" s="134"/>
      <c r="C117" s="138" t="s">
        <v>123</v>
      </c>
      <c r="D117" s="158">
        <v>844.2</v>
      </c>
      <c r="E117" s="158">
        <v>414.7</v>
      </c>
      <c r="F117" s="158">
        <v>411.41</v>
      </c>
      <c r="G117" s="159">
        <f>F117/E117*100</f>
        <v>99.20665541355197</v>
      </c>
      <c r="H117" s="159">
        <f t="shared" si="21"/>
        <v>48.733712390428806</v>
      </c>
      <c r="I117" s="160">
        <v>656.2</v>
      </c>
      <c r="J117" s="160">
        <f t="shared" si="22"/>
        <v>-188</v>
      </c>
      <c r="K117" s="161">
        <f t="shared" si="23"/>
        <v>0.7773039564084341</v>
      </c>
      <c r="L117" s="162"/>
    </row>
    <row r="118" spans="1:12" s="128" customFormat="1" ht="51.75" customHeight="1" hidden="1">
      <c r="A118" s="1" t="s">
        <v>9</v>
      </c>
      <c r="B118" s="134"/>
      <c r="C118" s="76" t="s">
        <v>110</v>
      </c>
      <c r="D118" s="158">
        <v>12886.9</v>
      </c>
      <c r="E118" s="158">
        <v>7935.395</v>
      </c>
      <c r="F118" s="158">
        <v>5819.675</v>
      </c>
      <c r="G118" s="159">
        <f>F118/E118*100</f>
        <v>73.33818921427351</v>
      </c>
      <c r="H118" s="159">
        <f t="shared" si="21"/>
        <v>45.1596194585199</v>
      </c>
      <c r="I118" s="160">
        <v>8986.4</v>
      </c>
      <c r="J118" s="160">
        <f t="shared" si="22"/>
        <v>-3900.5</v>
      </c>
      <c r="K118" s="161">
        <f t="shared" si="23"/>
        <v>0.697328294624774</v>
      </c>
      <c r="L118" s="162"/>
    </row>
    <row r="119" spans="1:12" s="7" customFormat="1" ht="16.5" customHeight="1">
      <c r="A119" s="27"/>
      <c r="B119" s="28"/>
      <c r="C119" s="76" t="s">
        <v>40</v>
      </c>
      <c r="D119" s="107">
        <v>5783.4</v>
      </c>
      <c r="E119" s="172">
        <v>4194.944</v>
      </c>
      <c r="F119" s="171">
        <v>3921.177</v>
      </c>
      <c r="G119" s="65">
        <f aca="true" t="shared" si="24" ref="G119:G128">F119/E119*100</f>
        <v>93.4738818921063</v>
      </c>
      <c r="H119" s="65">
        <f aca="true" t="shared" si="25" ref="H119:H128">F119/D119*100</f>
        <v>67.80054984956946</v>
      </c>
      <c r="I119" s="65"/>
      <c r="J119" s="65"/>
      <c r="K119" s="84"/>
      <c r="L119" s="21">
        <f>G119-95</f>
        <v>-1.5261181078936943</v>
      </c>
    </row>
    <row r="120" spans="1:12" s="7" customFormat="1" ht="28.5" customHeight="1">
      <c r="A120" s="1" t="s">
        <v>11</v>
      </c>
      <c r="B120" s="2" t="s">
        <v>12</v>
      </c>
      <c r="C120" s="2" t="s">
        <v>52</v>
      </c>
      <c r="D120" s="113">
        <f>D121+D136</f>
        <v>245536.50600000002</v>
      </c>
      <c r="E120" s="113">
        <f>E121+E136</f>
        <v>206556.231</v>
      </c>
      <c r="F120" s="113">
        <f>F121+F136</f>
        <v>200925.784</v>
      </c>
      <c r="G120" s="66">
        <f t="shared" si="24"/>
        <v>97.27413355058749</v>
      </c>
      <c r="H120" s="66">
        <f t="shared" si="25"/>
        <v>81.83132816918068</v>
      </c>
      <c r="I120" s="66"/>
      <c r="J120" s="66"/>
      <c r="K120" s="67"/>
      <c r="L120" s="32" t="s">
        <v>77</v>
      </c>
    </row>
    <row r="121" spans="1:12" s="31" customFormat="1" ht="17.25" customHeight="1">
      <c r="A121" s="29"/>
      <c r="B121" s="30"/>
      <c r="C121" s="76" t="s">
        <v>39</v>
      </c>
      <c r="D121" s="107">
        <v>240893.306</v>
      </c>
      <c r="E121" s="107">
        <v>202842.829</v>
      </c>
      <c r="F121" s="107">
        <v>197626.054</v>
      </c>
      <c r="G121" s="65">
        <f t="shared" si="24"/>
        <v>97.42816888044882</v>
      </c>
      <c r="H121" s="65">
        <f t="shared" si="25"/>
        <v>82.03883174736288</v>
      </c>
      <c r="I121" s="65">
        <f>I122+I123+I124+I125+I126+I127+I128+I129+I131+I132+I133+I134+I135+I130</f>
        <v>231625.09800000003</v>
      </c>
      <c r="J121" s="65">
        <f>I121-D121</f>
        <v>-9268.207999999984</v>
      </c>
      <c r="K121" s="84">
        <f>I121/D121</f>
        <v>0.9615256722824835</v>
      </c>
      <c r="L121" s="21">
        <f>G121-95</f>
        <v>2.4281688804488226</v>
      </c>
    </row>
    <row r="122" spans="1:13" s="128" customFormat="1" ht="27" customHeight="1" hidden="1">
      <c r="A122" s="1" t="s">
        <v>11</v>
      </c>
      <c r="B122" s="134"/>
      <c r="C122" s="76" t="s">
        <v>105</v>
      </c>
      <c r="D122" s="158">
        <v>30301.9</v>
      </c>
      <c r="E122" s="158">
        <v>19380.67</v>
      </c>
      <c r="F122" s="160">
        <v>18289.822</v>
      </c>
      <c r="G122" s="159">
        <f t="shared" si="24"/>
        <v>94.37146393803724</v>
      </c>
      <c r="H122" s="159">
        <f t="shared" si="25"/>
        <v>60.35866397816638</v>
      </c>
      <c r="I122" s="160">
        <v>28735.4</v>
      </c>
      <c r="J122" s="160">
        <f>I122-D122</f>
        <v>-1566.5</v>
      </c>
      <c r="K122" s="161">
        <f>I122/D122</f>
        <v>0.9483035717232253</v>
      </c>
      <c r="L122" s="162"/>
      <c r="M122" s="16"/>
    </row>
    <row r="123" spans="1:12" s="128" customFormat="1" ht="54" customHeight="1" hidden="1">
      <c r="A123" s="1" t="s">
        <v>11</v>
      </c>
      <c r="B123" s="134"/>
      <c r="C123" s="76" t="s">
        <v>166</v>
      </c>
      <c r="D123" s="158">
        <v>790</v>
      </c>
      <c r="E123" s="158">
        <v>343.7</v>
      </c>
      <c r="F123" s="158">
        <v>273.7</v>
      </c>
      <c r="G123" s="159">
        <f>F123/E123*100</f>
        <v>79.63340122199592</v>
      </c>
      <c r="H123" s="159">
        <f>F123/D123*100</f>
        <v>34.64556962025316</v>
      </c>
      <c r="I123" s="160">
        <v>719.4</v>
      </c>
      <c r="J123" s="160">
        <f aca="true" t="shared" si="26" ref="J123:J135">I123-D123</f>
        <v>-70.60000000000002</v>
      </c>
      <c r="K123" s="161">
        <f aca="true" t="shared" si="27" ref="K123:K135">I123/D123</f>
        <v>0.910632911392405</v>
      </c>
      <c r="L123" s="162"/>
    </row>
    <row r="124" spans="1:12" s="128" customFormat="1" ht="39.75" customHeight="1" hidden="1">
      <c r="A124" s="1" t="s">
        <v>11</v>
      </c>
      <c r="B124" s="134"/>
      <c r="C124" s="76" t="s">
        <v>148</v>
      </c>
      <c r="D124" s="158">
        <v>289</v>
      </c>
      <c r="E124" s="158">
        <v>266</v>
      </c>
      <c r="F124" s="158">
        <v>259.95</v>
      </c>
      <c r="G124" s="159">
        <f>F124/E124*100</f>
        <v>97.72556390977442</v>
      </c>
      <c r="H124" s="159">
        <f>F124/D124*100</f>
        <v>89.94809688581314</v>
      </c>
      <c r="I124" s="158">
        <v>259.95</v>
      </c>
      <c r="J124" s="160">
        <f t="shared" si="26"/>
        <v>-29.05000000000001</v>
      </c>
      <c r="K124" s="161">
        <f t="shared" si="27"/>
        <v>0.8994809688581314</v>
      </c>
      <c r="L124" s="162"/>
    </row>
    <row r="125" spans="1:12" s="128" customFormat="1" ht="26.25" customHeight="1" hidden="1">
      <c r="A125" s="1" t="s">
        <v>11</v>
      </c>
      <c r="B125" s="134"/>
      <c r="C125" s="76" t="s">
        <v>108</v>
      </c>
      <c r="D125" s="158">
        <v>6426.5</v>
      </c>
      <c r="E125" s="158">
        <v>3104.016</v>
      </c>
      <c r="F125" s="158">
        <v>3092.013</v>
      </c>
      <c r="G125" s="159">
        <f t="shared" si="24"/>
        <v>99.61330740563193</v>
      </c>
      <c r="H125" s="159">
        <f t="shared" si="25"/>
        <v>48.11348323348634</v>
      </c>
      <c r="I125" s="160">
        <v>4987.187</v>
      </c>
      <c r="J125" s="160">
        <f t="shared" si="26"/>
        <v>-1439.313</v>
      </c>
      <c r="K125" s="161">
        <f t="shared" si="27"/>
        <v>0.7760347000700225</v>
      </c>
      <c r="L125" s="162"/>
    </row>
    <row r="126" spans="1:13" s="128" customFormat="1" ht="27" customHeight="1" hidden="1">
      <c r="A126" s="1" t="s">
        <v>11</v>
      </c>
      <c r="B126" s="134"/>
      <c r="C126" s="76" t="s">
        <v>107</v>
      </c>
      <c r="D126" s="158">
        <v>2307.7</v>
      </c>
      <c r="E126" s="158">
        <v>2276.6</v>
      </c>
      <c r="F126" s="158">
        <v>2222.27</v>
      </c>
      <c r="G126" s="159">
        <f t="shared" si="24"/>
        <v>97.61354651673548</v>
      </c>
      <c r="H126" s="159">
        <f t="shared" si="25"/>
        <v>96.2980456731811</v>
      </c>
      <c r="I126" s="160">
        <v>2276.6</v>
      </c>
      <c r="J126" s="160">
        <f t="shared" si="26"/>
        <v>-31.09999999999991</v>
      </c>
      <c r="K126" s="161">
        <f t="shared" si="27"/>
        <v>0.9865233782554058</v>
      </c>
      <c r="L126" s="162"/>
      <c r="M126" s="16"/>
    </row>
    <row r="127" spans="1:12" s="128" customFormat="1" ht="27" customHeight="1" hidden="1">
      <c r="A127" s="1" t="s">
        <v>11</v>
      </c>
      <c r="B127" s="134"/>
      <c r="C127" s="76" t="s">
        <v>106</v>
      </c>
      <c r="D127" s="158">
        <v>3467.81</v>
      </c>
      <c r="E127" s="158">
        <v>2480.242</v>
      </c>
      <c r="F127" s="158">
        <v>2480.242</v>
      </c>
      <c r="G127" s="159">
        <f t="shared" si="24"/>
        <v>100</v>
      </c>
      <c r="H127" s="159">
        <f t="shared" si="25"/>
        <v>71.52185385012444</v>
      </c>
      <c r="I127" s="160">
        <v>2970.511</v>
      </c>
      <c r="J127" s="160">
        <f t="shared" si="26"/>
        <v>-497.299</v>
      </c>
      <c r="K127" s="161">
        <f t="shared" si="27"/>
        <v>0.8565956612386492</v>
      </c>
      <c r="L127" s="162"/>
    </row>
    <row r="128" spans="1:12" s="128" customFormat="1" ht="31.5" customHeight="1" hidden="1">
      <c r="A128" s="1" t="s">
        <v>11</v>
      </c>
      <c r="B128" s="134"/>
      <c r="C128" s="76" t="s">
        <v>109</v>
      </c>
      <c r="D128" s="158">
        <v>3355.442</v>
      </c>
      <c r="E128" s="158">
        <v>1877.436</v>
      </c>
      <c r="F128" s="158">
        <v>1875.448</v>
      </c>
      <c r="G128" s="159">
        <f t="shared" si="24"/>
        <v>99.8941109044463</v>
      </c>
      <c r="H128" s="159">
        <f t="shared" si="25"/>
        <v>55.89272590615484</v>
      </c>
      <c r="I128" s="160">
        <v>3352.49</v>
      </c>
      <c r="J128" s="160">
        <f t="shared" si="26"/>
        <v>-2.9520000000002256</v>
      </c>
      <c r="K128" s="161">
        <f t="shared" si="27"/>
        <v>0.9991202351284867</v>
      </c>
      <c r="L128" s="162"/>
    </row>
    <row r="129" spans="1:12" s="128" customFormat="1" ht="27" customHeight="1" hidden="1">
      <c r="A129" s="1" t="s">
        <v>11</v>
      </c>
      <c r="B129" s="134"/>
      <c r="C129" s="76" t="s">
        <v>120</v>
      </c>
      <c r="D129" s="158">
        <v>984.2</v>
      </c>
      <c r="E129" s="158">
        <v>389.7</v>
      </c>
      <c r="F129" s="158">
        <v>383.972</v>
      </c>
      <c r="G129" s="159">
        <f>F129/E129*100</f>
        <v>98.53015139851168</v>
      </c>
      <c r="H129" s="159">
        <f aca="true" t="shared" si="28" ref="H129:H135">F129/D129*100</f>
        <v>39.01361511887828</v>
      </c>
      <c r="I129" s="160">
        <v>704.4</v>
      </c>
      <c r="J129" s="160">
        <f t="shared" si="26"/>
        <v>-279.80000000000007</v>
      </c>
      <c r="K129" s="161">
        <f t="shared" si="27"/>
        <v>0.7157081893923999</v>
      </c>
      <c r="L129" s="162"/>
    </row>
    <row r="130" spans="1:12" s="128" customFormat="1" ht="27.75" customHeight="1" hidden="1">
      <c r="A130" s="1" t="s">
        <v>11</v>
      </c>
      <c r="B130" s="134"/>
      <c r="C130" s="142" t="s">
        <v>173</v>
      </c>
      <c r="D130" s="158">
        <v>494.529</v>
      </c>
      <c r="E130" s="158">
        <v>0</v>
      </c>
      <c r="F130" s="158">
        <v>0</v>
      </c>
      <c r="G130" s="159">
        <v>0</v>
      </c>
      <c r="H130" s="159">
        <f>F130/D130*100</f>
        <v>0</v>
      </c>
      <c r="I130" s="160">
        <v>494.5</v>
      </c>
      <c r="J130" s="160">
        <f>I130-D130</f>
        <v>-0.028999999999996362</v>
      </c>
      <c r="K130" s="161">
        <f>I130/D130</f>
        <v>0.999941358342989</v>
      </c>
      <c r="L130" s="162"/>
    </row>
    <row r="131" spans="1:12" s="128" customFormat="1" ht="26.25" customHeight="1" hidden="1">
      <c r="A131" s="1" t="s">
        <v>11</v>
      </c>
      <c r="B131" s="134"/>
      <c r="C131" s="76" t="s">
        <v>176</v>
      </c>
      <c r="D131" s="158">
        <v>54.4</v>
      </c>
      <c r="E131" s="158">
        <v>50.07</v>
      </c>
      <c r="F131" s="158">
        <v>50</v>
      </c>
      <c r="G131" s="159">
        <f>F131/E131*100</f>
        <v>99.86019572598363</v>
      </c>
      <c r="H131" s="159">
        <f t="shared" si="28"/>
        <v>91.91176470588236</v>
      </c>
      <c r="I131" s="160">
        <v>50</v>
      </c>
      <c r="J131" s="160">
        <f t="shared" si="26"/>
        <v>-4.399999999999999</v>
      </c>
      <c r="K131" s="161">
        <f t="shared" si="27"/>
        <v>0.9191176470588236</v>
      </c>
      <c r="L131" s="162"/>
    </row>
    <row r="132" spans="1:12" s="128" customFormat="1" ht="27" customHeight="1" hidden="1">
      <c r="A132" s="1" t="s">
        <v>11</v>
      </c>
      <c r="B132" s="134"/>
      <c r="C132" s="138" t="s">
        <v>121</v>
      </c>
      <c r="D132" s="158">
        <v>177984.716</v>
      </c>
      <c r="E132" s="158">
        <v>133872.596</v>
      </c>
      <c r="F132" s="158">
        <v>130983.372</v>
      </c>
      <c r="G132" s="159">
        <f>F132/E132*100</f>
        <v>97.84181073174977</v>
      </c>
      <c r="H132" s="159">
        <f t="shared" si="28"/>
        <v>73.59248307590637</v>
      </c>
      <c r="I132" s="160">
        <v>176646.2</v>
      </c>
      <c r="J132" s="160">
        <f t="shared" si="26"/>
        <v>-1338.5159999999742</v>
      </c>
      <c r="K132" s="161">
        <f t="shared" si="27"/>
        <v>0.9924796014507224</v>
      </c>
      <c r="L132" s="162"/>
    </row>
    <row r="133" spans="1:12" s="128" customFormat="1" ht="27" customHeight="1" hidden="1">
      <c r="A133" s="1" t="s">
        <v>11</v>
      </c>
      <c r="B133" s="134"/>
      <c r="C133" s="141" t="s">
        <v>122</v>
      </c>
      <c r="D133" s="158">
        <f>3202.4+205.758</f>
        <v>3408.158</v>
      </c>
      <c r="E133" s="158">
        <f>1621.878+205.758</f>
        <v>1827.636</v>
      </c>
      <c r="F133" s="158">
        <f>1621.877+205.758</f>
        <v>1827.635</v>
      </c>
      <c r="G133" s="159">
        <f>F133/E133*100</f>
        <v>99.99994528450961</v>
      </c>
      <c r="H133" s="159">
        <f t="shared" si="28"/>
        <v>53.625301409148285</v>
      </c>
      <c r="I133" s="160">
        <f>3186+205.76</f>
        <v>3391.76</v>
      </c>
      <c r="J133" s="160">
        <f t="shared" si="26"/>
        <v>-16.397999999999683</v>
      </c>
      <c r="K133" s="161">
        <f t="shared" si="27"/>
        <v>0.9951886033452675</v>
      </c>
      <c r="L133" s="162"/>
    </row>
    <row r="134" spans="1:12" s="128" customFormat="1" ht="27" customHeight="1" hidden="1">
      <c r="A134" s="1" t="s">
        <v>11</v>
      </c>
      <c r="B134" s="134"/>
      <c r="C134" s="138" t="s">
        <v>123</v>
      </c>
      <c r="D134" s="158">
        <v>272.2</v>
      </c>
      <c r="E134" s="158">
        <v>228.9</v>
      </c>
      <c r="F134" s="158">
        <v>105.1</v>
      </c>
      <c r="G134" s="159">
        <f>F134/E134*100</f>
        <v>45.91524683267802</v>
      </c>
      <c r="H134" s="159">
        <f t="shared" si="28"/>
        <v>38.61131520940485</v>
      </c>
      <c r="I134" s="160">
        <v>270.7</v>
      </c>
      <c r="J134" s="160">
        <f t="shared" si="26"/>
        <v>-1.5</v>
      </c>
      <c r="K134" s="161">
        <f t="shared" si="27"/>
        <v>0.9944893460690669</v>
      </c>
      <c r="L134" s="162"/>
    </row>
    <row r="135" spans="1:12" s="128" customFormat="1" ht="53.25" customHeight="1" hidden="1">
      <c r="A135" s="1" t="s">
        <v>11</v>
      </c>
      <c r="B135" s="134"/>
      <c r="C135" s="76" t="s">
        <v>110</v>
      </c>
      <c r="D135" s="158">
        <v>8303.5</v>
      </c>
      <c r="E135" s="158">
        <v>5681.344</v>
      </c>
      <c r="F135" s="158">
        <v>5521.083</v>
      </c>
      <c r="G135" s="159">
        <f>F135/E135*100</f>
        <v>97.1791709848937</v>
      </c>
      <c r="H135" s="159">
        <f t="shared" si="28"/>
        <v>66.49103390136689</v>
      </c>
      <c r="I135" s="160">
        <v>6766</v>
      </c>
      <c r="J135" s="160">
        <f t="shared" si="26"/>
        <v>-1537.5</v>
      </c>
      <c r="K135" s="161">
        <f t="shared" si="27"/>
        <v>0.8148371168784247</v>
      </c>
      <c r="L135" s="162"/>
    </row>
    <row r="136" spans="1:12" s="7" customFormat="1" ht="16.5" customHeight="1">
      <c r="A136" s="27"/>
      <c r="B136" s="28"/>
      <c r="C136" s="76" t="s">
        <v>40</v>
      </c>
      <c r="D136" s="107">
        <v>4643.2</v>
      </c>
      <c r="E136" s="107">
        <v>3713.402</v>
      </c>
      <c r="F136" s="171">
        <v>3299.73</v>
      </c>
      <c r="G136" s="65">
        <f aca="true" t="shared" si="29" ref="G136:G142">F136/E136*100</f>
        <v>88.86002646629694</v>
      </c>
      <c r="H136" s="65">
        <f aca="true" t="shared" si="30" ref="H136:H142">F136/D136*100</f>
        <v>71.06585975189525</v>
      </c>
      <c r="I136" s="65"/>
      <c r="J136" s="65"/>
      <c r="K136" s="67"/>
      <c r="L136" s="21">
        <f>G136-95</f>
        <v>-6.139973533703056</v>
      </c>
    </row>
    <row r="137" spans="1:12" s="7" customFormat="1" ht="28.5" customHeight="1">
      <c r="A137" s="231" t="s">
        <v>13</v>
      </c>
      <c r="B137" s="2" t="s">
        <v>14</v>
      </c>
      <c r="C137" s="2" t="s">
        <v>51</v>
      </c>
      <c r="D137" s="113">
        <f>D138+D153</f>
        <v>270779.443</v>
      </c>
      <c r="E137" s="113">
        <f>E138+E153</f>
        <v>233089.81</v>
      </c>
      <c r="F137" s="113">
        <f>F138+F153</f>
        <v>197899.738</v>
      </c>
      <c r="G137" s="66">
        <f t="shared" si="29"/>
        <v>84.90278403847856</v>
      </c>
      <c r="H137" s="66">
        <f t="shared" si="30"/>
        <v>73.08521496589384</v>
      </c>
      <c r="I137" s="66"/>
      <c r="J137" s="66"/>
      <c r="K137" s="67"/>
      <c r="L137" s="32" t="s">
        <v>77</v>
      </c>
    </row>
    <row r="138" spans="1:12" s="31" customFormat="1" ht="16.5" customHeight="1">
      <c r="A138" s="29"/>
      <c r="B138" s="30"/>
      <c r="C138" s="76" t="s">
        <v>39</v>
      </c>
      <c r="D138" s="234">
        <f>270235.302-4099.059</f>
        <v>266136.243</v>
      </c>
      <c r="E138" s="234">
        <f>230728.147-1087.965</f>
        <v>229640.182</v>
      </c>
      <c r="F138" s="234">
        <f>194669.032-0</f>
        <v>194669.032</v>
      </c>
      <c r="G138" s="235">
        <f t="shared" si="29"/>
        <v>84.77132804223261</v>
      </c>
      <c r="H138" s="235">
        <f t="shared" si="30"/>
        <v>73.14638164483294</v>
      </c>
      <c r="I138" s="65">
        <f>I139+I140+I141+I142+I143+I144+I145+I146+I148+I149+I150+I151+I152+I147</f>
        <v>233749.585</v>
      </c>
      <c r="J138" s="65">
        <f aca="true" t="shared" si="31" ref="J138:J146">I138-D138</f>
        <v>-32386.658000000025</v>
      </c>
      <c r="K138" s="84">
        <f aca="true" t="shared" si="32" ref="K138:K146">I138/D138</f>
        <v>0.8783079762646231</v>
      </c>
      <c r="L138" s="21">
        <f>G138-95</f>
        <v>-10.22867195776739</v>
      </c>
    </row>
    <row r="139" spans="1:12" s="128" customFormat="1" ht="26.25" customHeight="1" hidden="1">
      <c r="A139" s="1" t="s">
        <v>13</v>
      </c>
      <c r="B139" s="134"/>
      <c r="C139" s="76" t="s">
        <v>105</v>
      </c>
      <c r="D139" s="158">
        <v>34250.1</v>
      </c>
      <c r="E139" s="163">
        <v>22321.882</v>
      </c>
      <c r="F139" s="160">
        <v>21438.031</v>
      </c>
      <c r="G139" s="159">
        <f t="shared" si="29"/>
        <v>96.04042795316272</v>
      </c>
      <c r="H139" s="159">
        <f t="shared" si="30"/>
        <v>62.592608488734335</v>
      </c>
      <c r="I139" s="160">
        <v>32453.1</v>
      </c>
      <c r="J139" s="160">
        <f t="shared" si="31"/>
        <v>-1797</v>
      </c>
      <c r="K139" s="161">
        <f t="shared" si="32"/>
        <v>0.9475329999036499</v>
      </c>
      <c r="L139" s="162"/>
    </row>
    <row r="140" spans="1:12" s="128" customFormat="1" ht="54" customHeight="1" hidden="1">
      <c r="A140" s="1" t="s">
        <v>13</v>
      </c>
      <c r="B140" s="134"/>
      <c r="C140" s="76" t="s">
        <v>166</v>
      </c>
      <c r="D140" s="158">
        <v>690</v>
      </c>
      <c r="E140" s="158">
        <v>652.479</v>
      </c>
      <c r="F140" s="160">
        <v>170.907</v>
      </c>
      <c r="G140" s="159">
        <f t="shared" si="29"/>
        <v>26.19348668692785</v>
      </c>
      <c r="H140" s="159">
        <f t="shared" si="30"/>
        <v>24.76913043478261</v>
      </c>
      <c r="I140" s="160">
        <v>229</v>
      </c>
      <c r="J140" s="160">
        <f>I140-D140</f>
        <v>-461</v>
      </c>
      <c r="K140" s="161">
        <f>I140/D140</f>
        <v>0.3318840579710145</v>
      </c>
      <c r="L140" s="162"/>
    </row>
    <row r="141" spans="1:12" s="128" customFormat="1" ht="39.75" customHeight="1" hidden="1">
      <c r="A141" s="1" t="s">
        <v>13</v>
      </c>
      <c r="B141" s="134"/>
      <c r="C141" s="76" t="s">
        <v>148</v>
      </c>
      <c r="D141" s="158">
        <v>401</v>
      </c>
      <c r="E141" s="163">
        <v>373.516</v>
      </c>
      <c r="F141" s="160">
        <v>286.185</v>
      </c>
      <c r="G141" s="159">
        <f t="shared" si="29"/>
        <v>76.61920774478202</v>
      </c>
      <c r="H141" s="159">
        <f t="shared" si="30"/>
        <v>71.36783042394015</v>
      </c>
      <c r="I141" s="160">
        <v>293</v>
      </c>
      <c r="J141" s="160">
        <f>I141-D141</f>
        <v>-108</v>
      </c>
      <c r="K141" s="161">
        <f>I141/D141</f>
        <v>0.7306733167082294</v>
      </c>
      <c r="L141" s="162"/>
    </row>
    <row r="142" spans="1:12" s="128" customFormat="1" ht="26.25" customHeight="1" hidden="1">
      <c r="A142" s="1" t="s">
        <v>13</v>
      </c>
      <c r="B142" s="134"/>
      <c r="C142" s="76" t="s">
        <v>108</v>
      </c>
      <c r="D142" s="158">
        <v>4712.4</v>
      </c>
      <c r="E142" s="158">
        <v>2444.327</v>
      </c>
      <c r="F142" s="158">
        <v>2444.327</v>
      </c>
      <c r="G142" s="159">
        <f t="shared" si="29"/>
        <v>100</v>
      </c>
      <c r="H142" s="159">
        <f t="shared" si="30"/>
        <v>51.87010864952042</v>
      </c>
      <c r="I142" s="160">
        <v>3189.263</v>
      </c>
      <c r="J142" s="160">
        <f t="shared" si="31"/>
        <v>-1523.1369999999997</v>
      </c>
      <c r="K142" s="161">
        <f t="shared" si="32"/>
        <v>0.676781045751634</v>
      </c>
      <c r="L142" s="162"/>
    </row>
    <row r="143" spans="1:12" s="128" customFormat="1" ht="27" customHeight="1" hidden="1">
      <c r="A143" s="1" t="s">
        <v>13</v>
      </c>
      <c r="B143" s="134"/>
      <c r="C143" s="76" t="s">
        <v>107</v>
      </c>
      <c r="D143" s="158">
        <v>2546.8</v>
      </c>
      <c r="E143" s="158">
        <v>2493.5</v>
      </c>
      <c r="F143" s="158">
        <v>2491.938</v>
      </c>
      <c r="G143" s="159">
        <f aca="true" t="shared" si="33" ref="G143:G152">F143/E143*100</f>
        <v>99.93735712853419</v>
      </c>
      <c r="H143" s="159">
        <f aca="true" t="shared" si="34" ref="H143:H152">F143/D143*100</f>
        <v>97.84584576723732</v>
      </c>
      <c r="I143" s="160">
        <v>2491.938</v>
      </c>
      <c r="J143" s="160">
        <f>I143-D143</f>
        <v>-54.86200000000008</v>
      </c>
      <c r="K143" s="161">
        <f>I143/D143</f>
        <v>0.9784584576723732</v>
      </c>
      <c r="L143" s="162"/>
    </row>
    <row r="144" spans="1:12" s="128" customFormat="1" ht="27" customHeight="1" hidden="1">
      <c r="A144" s="1" t="s">
        <v>13</v>
      </c>
      <c r="B144" s="134"/>
      <c r="C144" s="76" t="s">
        <v>106</v>
      </c>
      <c r="D144" s="158">
        <v>3487.3</v>
      </c>
      <c r="E144" s="158">
        <v>2525.569</v>
      </c>
      <c r="F144" s="158">
        <v>2409.344</v>
      </c>
      <c r="G144" s="159">
        <f t="shared" si="33"/>
        <v>95.3980667326848</v>
      </c>
      <c r="H144" s="159">
        <f t="shared" si="34"/>
        <v>69.08909471510911</v>
      </c>
      <c r="I144" s="160">
        <v>3279.146</v>
      </c>
      <c r="J144" s="160">
        <f>I144-D144</f>
        <v>-208.154</v>
      </c>
      <c r="K144" s="161">
        <f>I144/D144</f>
        <v>0.9403108421988358</v>
      </c>
      <c r="L144" s="162"/>
    </row>
    <row r="145" spans="1:12" s="128" customFormat="1" ht="26.25" customHeight="1" hidden="1">
      <c r="A145" s="1" t="s">
        <v>13</v>
      </c>
      <c r="B145" s="134"/>
      <c r="C145" s="76" t="s">
        <v>109</v>
      </c>
      <c r="D145" s="158">
        <v>3945.1</v>
      </c>
      <c r="E145" s="158">
        <v>2393.184</v>
      </c>
      <c r="F145" s="158">
        <v>2393.184</v>
      </c>
      <c r="G145" s="159">
        <f t="shared" si="33"/>
        <v>100</v>
      </c>
      <c r="H145" s="159">
        <f t="shared" si="34"/>
        <v>60.66218853767966</v>
      </c>
      <c r="I145" s="160">
        <v>3725.213</v>
      </c>
      <c r="J145" s="160">
        <f>I145-D145</f>
        <v>-219.88699999999972</v>
      </c>
      <c r="K145" s="161">
        <f>I145/D145</f>
        <v>0.9442632632886366</v>
      </c>
      <c r="L145" s="162"/>
    </row>
    <row r="146" spans="1:12" s="128" customFormat="1" ht="27" customHeight="1" hidden="1">
      <c r="A146" s="1" t="s">
        <v>13</v>
      </c>
      <c r="B146" s="134"/>
      <c r="C146" s="76" t="s">
        <v>120</v>
      </c>
      <c r="D146" s="158">
        <v>992.5</v>
      </c>
      <c r="E146" s="158">
        <v>378.8</v>
      </c>
      <c r="F146" s="158">
        <v>334.62</v>
      </c>
      <c r="G146" s="159">
        <f t="shared" si="33"/>
        <v>88.33685322069694</v>
      </c>
      <c r="H146" s="159">
        <f t="shared" si="34"/>
        <v>33.71486146095718</v>
      </c>
      <c r="I146" s="160">
        <v>987.5</v>
      </c>
      <c r="J146" s="160">
        <f t="shared" si="31"/>
        <v>-5</v>
      </c>
      <c r="K146" s="161">
        <f t="shared" si="32"/>
        <v>0.9949622166246851</v>
      </c>
      <c r="L146" s="162"/>
    </row>
    <row r="147" spans="1:12" s="128" customFormat="1" ht="27" customHeight="1" hidden="1">
      <c r="A147" s="1" t="s">
        <v>13</v>
      </c>
      <c r="B147" s="134"/>
      <c r="C147" s="142" t="s">
        <v>173</v>
      </c>
      <c r="D147" s="158">
        <v>1087.965</v>
      </c>
      <c r="E147" s="158">
        <v>0</v>
      </c>
      <c r="F147" s="158">
        <v>0</v>
      </c>
      <c r="G147" s="159">
        <v>0</v>
      </c>
      <c r="H147" s="159">
        <f>F147/D147*100</f>
        <v>0</v>
      </c>
      <c r="I147" s="160">
        <v>1087.965</v>
      </c>
      <c r="J147" s="160">
        <f aca="true" t="shared" si="35" ref="J147:J152">I147-D147</f>
        <v>0</v>
      </c>
      <c r="K147" s="161">
        <f aca="true" t="shared" si="36" ref="K147:K152">I147/D147</f>
        <v>1</v>
      </c>
      <c r="L147" s="162"/>
    </row>
    <row r="148" spans="1:12" s="128" customFormat="1" ht="26.25" customHeight="1" hidden="1">
      <c r="A148" s="1" t="s">
        <v>13</v>
      </c>
      <c r="B148" s="134"/>
      <c r="C148" s="76" t="s">
        <v>176</v>
      </c>
      <c r="D148" s="158">
        <v>2487.613</v>
      </c>
      <c r="E148" s="158">
        <v>1208.986</v>
      </c>
      <c r="F148" s="158">
        <v>1208.986</v>
      </c>
      <c r="G148" s="159">
        <f>F148/E148*100</f>
        <v>100</v>
      </c>
      <c r="H148" s="159">
        <f>F148/D148*100</f>
        <v>48.60024449140602</v>
      </c>
      <c r="I148" s="160">
        <v>2487.6</v>
      </c>
      <c r="J148" s="160">
        <f t="shared" si="35"/>
        <v>-0.012999999999919964</v>
      </c>
      <c r="K148" s="161">
        <f t="shared" si="36"/>
        <v>0.9999947741067441</v>
      </c>
      <c r="L148" s="162"/>
    </row>
    <row r="149" spans="1:12" s="128" customFormat="1" ht="27.75" customHeight="1" hidden="1">
      <c r="A149" s="1" t="s">
        <v>13</v>
      </c>
      <c r="B149" s="134"/>
      <c r="C149" s="138" t="s">
        <v>121</v>
      </c>
      <c r="D149" s="158">
        <v>176407.68</v>
      </c>
      <c r="E149" s="158">
        <v>110698.824</v>
      </c>
      <c r="F149" s="158">
        <v>107498.137</v>
      </c>
      <c r="G149" s="159">
        <f t="shared" si="33"/>
        <v>97.10865311450824</v>
      </c>
      <c r="H149" s="159">
        <f t="shared" si="34"/>
        <v>60.937333907458004</v>
      </c>
      <c r="I149" s="160">
        <v>175256.1</v>
      </c>
      <c r="J149" s="160">
        <f t="shared" si="35"/>
        <v>-1151.5799999999872</v>
      </c>
      <c r="K149" s="161">
        <f t="shared" si="36"/>
        <v>0.9934720529174241</v>
      </c>
      <c r="L149" s="162"/>
    </row>
    <row r="150" spans="1:12" s="128" customFormat="1" ht="27" customHeight="1" hidden="1">
      <c r="A150" s="1" t="s">
        <v>13</v>
      </c>
      <c r="B150" s="134"/>
      <c r="C150" s="141" t="s">
        <v>122</v>
      </c>
      <c r="D150" s="158">
        <v>719.4</v>
      </c>
      <c r="E150" s="158">
        <v>719.4</v>
      </c>
      <c r="F150" s="158">
        <v>582.861</v>
      </c>
      <c r="G150" s="159">
        <f t="shared" si="33"/>
        <v>81.02043369474562</v>
      </c>
      <c r="H150" s="159">
        <f t="shared" si="34"/>
        <v>81.02043369474562</v>
      </c>
      <c r="I150" s="160">
        <v>715.56</v>
      </c>
      <c r="J150" s="160">
        <f t="shared" si="35"/>
        <v>-3.840000000000032</v>
      </c>
      <c r="K150" s="161">
        <f t="shared" si="36"/>
        <v>0.9946622185154295</v>
      </c>
      <c r="L150" s="162"/>
    </row>
    <row r="151" spans="1:12" s="128" customFormat="1" ht="27" customHeight="1" hidden="1">
      <c r="A151" s="1" t="s">
        <v>13</v>
      </c>
      <c r="B151" s="134"/>
      <c r="C151" s="138" t="s">
        <v>123</v>
      </c>
      <c r="D151" s="158">
        <v>375.6</v>
      </c>
      <c r="E151" s="158">
        <v>187.8</v>
      </c>
      <c r="F151" s="158">
        <v>187.8</v>
      </c>
      <c r="G151" s="159">
        <f t="shared" si="33"/>
        <v>100</v>
      </c>
      <c r="H151" s="159">
        <f t="shared" si="34"/>
        <v>50</v>
      </c>
      <c r="I151" s="160">
        <v>357.8</v>
      </c>
      <c r="J151" s="160">
        <f t="shared" si="35"/>
        <v>-17.80000000000001</v>
      </c>
      <c r="K151" s="161">
        <f t="shared" si="36"/>
        <v>0.9526091586794462</v>
      </c>
      <c r="L151" s="162"/>
    </row>
    <row r="152" spans="1:12" s="128" customFormat="1" ht="53.25" customHeight="1" hidden="1">
      <c r="A152" s="1" t="s">
        <v>13</v>
      </c>
      <c r="B152" s="134"/>
      <c r="C152" s="76" t="s">
        <v>110</v>
      </c>
      <c r="D152" s="158">
        <v>8480.673</v>
      </c>
      <c r="E152" s="158">
        <v>5005.735</v>
      </c>
      <c r="F152" s="158">
        <v>4972.683</v>
      </c>
      <c r="G152" s="159">
        <f t="shared" si="33"/>
        <v>99.3397173442062</v>
      </c>
      <c r="H152" s="159">
        <f t="shared" si="34"/>
        <v>58.63547621751245</v>
      </c>
      <c r="I152" s="160">
        <v>7196.4</v>
      </c>
      <c r="J152" s="160">
        <f t="shared" si="35"/>
        <v>-1284.273000000001</v>
      </c>
      <c r="K152" s="161">
        <f t="shared" si="36"/>
        <v>0.848564730652862</v>
      </c>
      <c r="L152" s="162"/>
    </row>
    <row r="153" spans="1:12" s="7" customFormat="1" ht="16.5" customHeight="1">
      <c r="A153" s="27"/>
      <c r="B153" s="28"/>
      <c r="C153" s="76" t="s">
        <v>40</v>
      </c>
      <c r="D153" s="107">
        <v>4643.2</v>
      </c>
      <c r="E153" s="107">
        <v>3449.628</v>
      </c>
      <c r="F153" s="107">
        <v>3230.706</v>
      </c>
      <c r="G153" s="65">
        <f aca="true" t="shared" si="37" ref="G153:G162">F153/E153*100</f>
        <v>93.65375049135733</v>
      </c>
      <c r="H153" s="65">
        <f aca="true" t="shared" si="38" ref="H153:H162">F153/D153*100</f>
        <v>69.57929875947623</v>
      </c>
      <c r="I153" s="65"/>
      <c r="J153" s="65"/>
      <c r="K153" s="67"/>
      <c r="L153" s="21">
        <f>G153-95</f>
        <v>-1.3462495086426713</v>
      </c>
    </row>
    <row r="154" spans="1:12" s="7" customFormat="1" ht="28.5" customHeight="1">
      <c r="A154" s="1" t="s">
        <v>15</v>
      </c>
      <c r="B154" s="2" t="s">
        <v>16</v>
      </c>
      <c r="C154" s="2" t="s">
        <v>50</v>
      </c>
      <c r="D154" s="113">
        <f>D155+D170</f>
        <v>278002.966</v>
      </c>
      <c r="E154" s="113">
        <f>E155+E170</f>
        <v>239864.055</v>
      </c>
      <c r="F154" s="113">
        <f>F155+F170</f>
        <v>224173.689</v>
      </c>
      <c r="G154" s="66">
        <f t="shared" si="37"/>
        <v>93.45864222965797</v>
      </c>
      <c r="H154" s="66">
        <f t="shared" si="38"/>
        <v>80.6371573028469</v>
      </c>
      <c r="I154" s="66"/>
      <c r="J154" s="66"/>
      <c r="K154" s="67"/>
      <c r="L154" s="32" t="s">
        <v>77</v>
      </c>
    </row>
    <row r="155" spans="1:12" s="31" customFormat="1" ht="17.25" customHeight="1">
      <c r="A155" s="29"/>
      <c r="B155" s="30"/>
      <c r="C155" s="76" t="s">
        <v>39</v>
      </c>
      <c r="D155" s="107">
        <f>274000.166</f>
        <v>274000.166</v>
      </c>
      <c r="E155" s="107">
        <f>236827.204</f>
        <v>236827.204</v>
      </c>
      <c r="F155" s="107">
        <f>221537.293</f>
        <v>221537.293</v>
      </c>
      <c r="G155" s="65">
        <f t="shared" si="37"/>
        <v>93.54385360222385</v>
      </c>
      <c r="H155" s="65">
        <f t="shared" si="38"/>
        <v>80.852977658415</v>
      </c>
      <c r="I155" s="65">
        <f>I156+I157+I158+I159+I160+I161+I162+I163+I165+I166+I167+I168+I169+I164</f>
        <v>257271.054</v>
      </c>
      <c r="J155" s="65">
        <f aca="true" t="shared" si="39" ref="J155:J169">I155-D155</f>
        <v>-16729.112000000023</v>
      </c>
      <c r="K155" s="84">
        <f aca="true" t="shared" si="40" ref="K155:K169">I155/D155</f>
        <v>0.9389448837049243</v>
      </c>
      <c r="L155" s="21">
        <f>G155-95</f>
        <v>-1.456146397776152</v>
      </c>
    </row>
    <row r="156" spans="1:12" s="128" customFormat="1" ht="27" customHeight="1" hidden="1">
      <c r="A156" s="1" t="s">
        <v>15</v>
      </c>
      <c r="B156" s="134"/>
      <c r="C156" s="76" t="s">
        <v>105</v>
      </c>
      <c r="D156" s="158">
        <v>29427.6</v>
      </c>
      <c r="E156" s="158">
        <v>18283.1</v>
      </c>
      <c r="F156" s="160">
        <v>17447.971</v>
      </c>
      <c r="G156" s="159">
        <f t="shared" si="37"/>
        <v>95.43223523363108</v>
      </c>
      <c r="H156" s="159">
        <f t="shared" si="38"/>
        <v>59.29117902921068</v>
      </c>
      <c r="I156" s="160">
        <v>29026.6</v>
      </c>
      <c r="J156" s="160">
        <f t="shared" si="39"/>
        <v>-401</v>
      </c>
      <c r="K156" s="161">
        <f t="shared" si="40"/>
        <v>0.9863733365955769</v>
      </c>
      <c r="L156" s="162"/>
    </row>
    <row r="157" spans="1:12" s="128" customFormat="1" ht="54" customHeight="1" hidden="1">
      <c r="A157" s="1" t="s">
        <v>15</v>
      </c>
      <c r="B157" s="134"/>
      <c r="C157" s="76" t="s">
        <v>166</v>
      </c>
      <c r="D157" s="158">
        <v>2070</v>
      </c>
      <c r="E157" s="158">
        <v>848.33</v>
      </c>
      <c r="F157" s="160">
        <v>38.326</v>
      </c>
      <c r="G157" s="159">
        <f t="shared" si="37"/>
        <v>4.51781735881084</v>
      </c>
      <c r="H157" s="159">
        <f t="shared" si="38"/>
        <v>1.851497584541063</v>
      </c>
      <c r="I157" s="160">
        <v>938.3</v>
      </c>
      <c r="J157" s="160">
        <f t="shared" si="39"/>
        <v>-1131.7</v>
      </c>
      <c r="K157" s="161">
        <f t="shared" si="40"/>
        <v>0.4532850241545894</v>
      </c>
      <c r="L157" s="162"/>
    </row>
    <row r="158" spans="1:12" s="128" customFormat="1" ht="39.75" customHeight="1" hidden="1">
      <c r="A158" s="1" t="s">
        <v>15</v>
      </c>
      <c r="B158" s="134"/>
      <c r="C158" s="76" t="s">
        <v>148</v>
      </c>
      <c r="D158" s="158">
        <v>500.7</v>
      </c>
      <c r="E158" s="158">
        <v>137.9</v>
      </c>
      <c r="F158" s="160">
        <v>136.554</v>
      </c>
      <c r="G158" s="159">
        <f t="shared" si="37"/>
        <v>99.02393038433648</v>
      </c>
      <c r="H158" s="159">
        <f t="shared" si="38"/>
        <v>27.272618334331938</v>
      </c>
      <c r="I158" s="160">
        <v>138.2</v>
      </c>
      <c r="J158" s="160">
        <f t="shared" si="39"/>
        <v>-362.5</v>
      </c>
      <c r="K158" s="161">
        <f t="shared" si="40"/>
        <v>0.2760135809866187</v>
      </c>
      <c r="L158" s="162"/>
    </row>
    <row r="159" spans="1:12" s="128" customFormat="1" ht="27" customHeight="1" hidden="1">
      <c r="A159" s="1" t="s">
        <v>15</v>
      </c>
      <c r="B159" s="134"/>
      <c r="C159" s="76" t="s">
        <v>108</v>
      </c>
      <c r="D159" s="158">
        <v>10696.135</v>
      </c>
      <c r="E159" s="158">
        <v>5859.9</v>
      </c>
      <c r="F159" s="158">
        <v>5720.239</v>
      </c>
      <c r="G159" s="159">
        <f t="shared" si="37"/>
        <v>97.61666581340978</v>
      </c>
      <c r="H159" s="159">
        <f t="shared" si="38"/>
        <v>53.47949516343987</v>
      </c>
      <c r="I159" s="160">
        <v>9058.211</v>
      </c>
      <c r="J159" s="160">
        <f t="shared" si="39"/>
        <v>-1637.924000000001</v>
      </c>
      <c r="K159" s="161">
        <f t="shared" si="40"/>
        <v>0.8468676769692977</v>
      </c>
      <c r="L159" s="162"/>
    </row>
    <row r="160" spans="1:12" s="128" customFormat="1" ht="27" customHeight="1" hidden="1">
      <c r="A160" s="1" t="s">
        <v>15</v>
      </c>
      <c r="B160" s="134"/>
      <c r="C160" s="76" t="s">
        <v>107</v>
      </c>
      <c r="D160" s="158">
        <v>1805.2</v>
      </c>
      <c r="E160" s="158">
        <v>1579.3</v>
      </c>
      <c r="F160" s="158">
        <v>1515.889</v>
      </c>
      <c r="G160" s="159">
        <f t="shared" si="37"/>
        <v>95.98486671310073</v>
      </c>
      <c r="H160" s="159">
        <f t="shared" si="38"/>
        <v>83.97346554398403</v>
      </c>
      <c r="I160" s="160">
        <v>1776.7</v>
      </c>
      <c r="J160" s="160">
        <f t="shared" si="39"/>
        <v>-28.5</v>
      </c>
      <c r="K160" s="161">
        <f t="shared" si="40"/>
        <v>0.9842122756481276</v>
      </c>
      <c r="L160" s="162"/>
    </row>
    <row r="161" spans="1:12" s="128" customFormat="1" ht="27.75" customHeight="1" hidden="1">
      <c r="A161" s="1" t="s">
        <v>15</v>
      </c>
      <c r="B161" s="134"/>
      <c r="C161" s="76" t="s">
        <v>106</v>
      </c>
      <c r="D161" s="158">
        <v>10657.973</v>
      </c>
      <c r="E161" s="158">
        <v>7595.397</v>
      </c>
      <c r="F161" s="158">
        <v>7368.307</v>
      </c>
      <c r="G161" s="159">
        <f t="shared" si="37"/>
        <v>97.01016286574618</v>
      </c>
      <c r="H161" s="159">
        <f t="shared" si="38"/>
        <v>69.13422467855754</v>
      </c>
      <c r="I161" s="160">
        <v>10599.833</v>
      </c>
      <c r="J161" s="160">
        <f t="shared" si="39"/>
        <v>-58.13999999999942</v>
      </c>
      <c r="K161" s="161">
        <f t="shared" si="40"/>
        <v>0.9945449289466206</v>
      </c>
      <c r="L161" s="162"/>
    </row>
    <row r="162" spans="1:12" s="128" customFormat="1" ht="31.5" customHeight="1" hidden="1">
      <c r="A162" s="1" t="s">
        <v>15</v>
      </c>
      <c r="B162" s="134"/>
      <c r="C162" s="76" t="s">
        <v>109</v>
      </c>
      <c r="D162" s="158">
        <v>4008.8</v>
      </c>
      <c r="E162" s="158">
        <v>3261.3</v>
      </c>
      <c r="F162" s="158">
        <v>3249.381</v>
      </c>
      <c r="G162" s="159">
        <f t="shared" si="37"/>
        <v>99.63453224174408</v>
      </c>
      <c r="H162" s="159">
        <f t="shared" si="38"/>
        <v>81.05620135701456</v>
      </c>
      <c r="I162" s="160">
        <v>3993.026</v>
      </c>
      <c r="J162" s="160">
        <f t="shared" si="39"/>
        <v>-15.774000000000342</v>
      </c>
      <c r="K162" s="161">
        <f t="shared" si="40"/>
        <v>0.9960651566553581</v>
      </c>
      <c r="L162" s="162"/>
    </row>
    <row r="163" spans="1:12" s="128" customFormat="1" ht="27" customHeight="1" hidden="1">
      <c r="A163" s="1" t="s">
        <v>15</v>
      </c>
      <c r="B163" s="134"/>
      <c r="C163" s="76" t="s">
        <v>120</v>
      </c>
      <c r="D163" s="158">
        <v>574.1</v>
      </c>
      <c r="E163" s="158">
        <v>574.1</v>
      </c>
      <c r="F163" s="158">
        <v>354.459</v>
      </c>
      <c r="G163" s="159">
        <f aca="true" t="shared" si="41" ref="G163:G171">F163/E163*100</f>
        <v>61.74168263368751</v>
      </c>
      <c r="H163" s="159">
        <f aca="true" t="shared" si="42" ref="H163:H169">F163/D163*100</f>
        <v>61.74168263368751</v>
      </c>
      <c r="I163" s="160">
        <v>567.3</v>
      </c>
      <c r="J163" s="160">
        <f t="shared" si="39"/>
        <v>-6.800000000000068</v>
      </c>
      <c r="K163" s="161">
        <f t="shared" si="40"/>
        <v>0.9881553736282876</v>
      </c>
      <c r="L163" s="162"/>
    </row>
    <row r="164" spans="1:12" s="128" customFormat="1" ht="27" customHeight="1" hidden="1">
      <c r="A164" s="1" t="s">
        <v>15</v>
      </c>
      <c r="B164" s="134"/>
      <c r="C164" s="142" t="s">
        <v>173</v>
      </c>
      <c r="D164" s="158">
        <v>593.436</v>
      </c>
      <c r="E164" s="158">
        <v>0</v>
      </c>
      <c r="F164" s="158">
        <v>0</v>
      </c>
      <c r="G164" s="159">
        <v>0</v>
      </c>
      <c r="H164" s="159">
        <f>F164/D164*100</f>
        <v>0</v>
      </c>
      <c r="I164" s="160">
        <v>593.4</v>
      </c>
      <c r="J164" s="160">
        <f>I164-D164</f>
        <v>-0.03600000000005821</v>
      </c>
      <c r="K164" s="161">
        <f>I164/D164</f>
        <v>0.9999393363395547</v>
      </c>
      <c r="L164" s="162"/>
    </row>
    <row r="165" spans="1:12" s="128" customFormat="1" ht="27" customHeight="1" hidden="1">
      <c r="A165" s="1" t="s">
        <v>15</v>
      </c>
      <c r="B165" s="134"/>
      <c r="C165" s="76" t="s">
        <v>176</v>
      </c>
      <c r="D165" s="158">
        <v>120</v>
      </c>
      <c r="E165" s="158">
        <v>80</v>
      </c>
      <c r="F165" s="158">
        <v>60</v>
      </c>
      <c r="G165" s="159">
        <f t="shared" si="41"/>
        <v>75</v>
      </c>
      <c r="H165" s="159">
        <f t="shared" si="42"/>
        <v>50</v>
      </c>
      <c r="I165" s="160">
        <v>78</v>
      </c>
      <c r="J165" s="160">
        <f t="shared" si="39"/>
        <v>-42</v>
      </c>
      <c r="K165" s="161">
        <f t="shared" si="40"/>
        <v>0.65</v>
      </c>
      <c r="L165" s="162"/>
    </row>
    <row r="166" spans="1:12" s="128" customFormat="1" ht="27" customHeight="1" hidden="1">
      <c r="A166" s="1" t="s">
        <v>15</v>
      </c>
      <c r="B166" s="134"/>
      <c r="C166" s="138" t="s">
        <v>121</v>
      </c>
      <c r="D166" s="158">
        <v>196007.321</v>
      </c>
      <c r="E166" s="158">
        <v>145102.521</v>
      </c>
      <c r="F166" s="158">
        <v>144610.706</v>
      </c>
      <c r="G166" s="159">
        <f t="shared" si="41"/>
        <v>99.66105688818459</v>
      </c>
      <c r="H166" s="159">
        <f t="shared" si="42"/>
        <v>73.77821668201874</v>
      </c>
      <c r="I166" s="160">
        <v>192983.97</v>
      </c>
      <c r="J166" s="160">
        <f t="shared" si="39"/>
        <v>-3023.350999999995</v>
      </c>
      <c r="K166" s="161">
        <f t="shared" si="40"/>
        <v>0.984575315939347</v>
      </c>
      <c r="L166" s="162"/>
    </row>
    <row r="167" spans="1:12" s="128" customFormat="1" ht="27" customHeight="1" hidden="1">
      <c r="A167" s="1" t="s">
        <v>15</v>
      </c>
      <c r="B167" s="134"/>
      <c r="C167" s="141" t="s">
        <v>122</v>
      </c>
      <c r="D167" s="158">
        <v>155.6</v>
      </c>
      <c r="E167" s="158">
        <v>155.6</v>
      </c>
      <c r="F167" s="158">
        <v>111.214</v>
      </c>
      <c r="G167" s="159">
        <f t="shared" si="41"/>
        <v>71.47429305912597</v>
      </c>
      <c r="H167" s="159">
        <f t="shared" si="42"/>
        <v>71.47429305912597</v>
      </c>
      <c r="I167" s="160">
        <v>111.214</v>
      </c>
      <c r="J167" s="160">
        <f t="shared" si="39"/>
        <v>-44.385999999999996</v>
      </c>
      <c r="K167" s="161">
        <f t="shared" si="40"/>
        <v>0.7147429305912597</v>
      </c>
      <c r="L167" s="162"/>
    </row>
    <row r="168" spans="1:12" s="128" customFormat="1" ht="27" customHeight="1" hidden="1">
      <c r="A168" s="1" t="s">
        <v>15</v>
      </c>
      <c r="B168" s="134"/>
      <c r="C168" s="138" t="s">
        <v>123</v>
      </c>
      <c r="D168" s="158">
        <v>759.1</v>
      </c>
      <c r="E168" s="158">
        <v>630.1</v>
      </c>
      <c r="F168" s="158">
        <v>487.847</v>
      </c>
      <c r="G168" s="159">
        <f t="shared" si="41"/>
        <v>77.42374226313284</v>
      </c>
      <c r="H168" s="159">
        <f t="shared" si="42"/>
        <v>64.26649980239758</v>
      </c>
      <c r="I168" s="160">
        <v>733.8</v>
      </c>
      <c r="J168" s="160">
        <f t="shared" si="39"/>
        <v>-25.300000000000068</v>
      </c>
      <c r="K168" s="161">
        <f t="shared" si="40"/>
        <v>0.9666710578316426</v>
      </c>
      <c r="L168" s="162"/>
    </row>
    <row r="169" spans="1:12" s="128" customFormat="1" ht="53.25" customHeight="1" hidden="1">
      <c r="A169" s="1" t="s">
        <v>15</v>
      </c>
      <c r="B169" s="134"/>
      <c r="C169" s="76" t="s">
        <v>110</v>
      </c>
      <c r="D169" s="158">
        <v>7229.8</v>
      </c>
      <c r="E169" s="158">
        <v>2961.175</v>
      </c>
      <c r="F169" s="158">
        <v>2877.928</v>
      </c>
      <c r="G169" s="159">
        <f t="shared" si="41"/>
        <v>97.18871731660573</v>
      </c>
      <c r="H169" s="159">
        <f t="shared" si="42"/>
        <v>39.806467675454364</v>
      </c>
      <c r="I169" s="160">
        <v>6672.5</v>
      </c>
      <c r="J169" s="160">
        <f t="shared" si="39"/>
        <v>-557.3000000000002</v>
      </c>
      <c r="K169" s="161">
        <f t="shared" si="40"/>
        <v>0.9229162632437965</v>
      </c>
      <c r="L169" s="162"/>
    </row>
    <row r="170" spans="1:12" s="7" customFormat="1" ht="16.5" customHeight="1">
      <c r="A170" s="27"/>
      <c r="B170" s="28"/>
      <c r="C170" s="76" t="s">
        <v>40</v>
      </c>
      <c r="D170" s="107">
        <v>4002.8</v>
      </c>
      <c r="E170" s="107">
        <v>3036.851</v>
      </c>
      <c r="F170" s="171">
        <v>2636.396</v>
      </c>
      <c r="G170" s="65">
        <f t="shared" si="41"/>
        <v>86.81347883053861</v>
      </c>
      <c r="H170" s="65">
        <f aca="true" t="shared" si="43" ref="H170:H176">F170/D170*100</f>
        <v>65.86379534325972</v>
      </c>
      <c r="I170" s="65"/>
      <c r="J170" s="65"/>
      <c r="K170" s="67"/>
      <c r="L170" s="21">
        <f>G170-95</f>
        <v>-8.186521169461386</v>
      </c>
    </row>
    <row r="171" spans="1:12" s="7" customFormat="1" ht="28.5" customHeight="1">
      <c r="A171" s="1" t="s">
        <v>17</v>
      </c>
      <c r="B171" s="2" t="s">
        <v>18</v>
      </c>
      <c r="C171" s="2" t="s">
        <v>78</v>
      </c>
      <c r="D171" s="113">
        <f>D172+D187</f>
        <v>271779.56</v>
      </c>
      <c r="E171" s="113">
        <f>E172+E187</f>
        <v>221573.72</v>
      </c>
      <c r="F171" s="113">
        <f>F172+F187</f>
        <v>214791.978</v>
      </c>
      <c r="G171" s="66">
        <f t="shared" si="41"/>
        <v>96.93928413532075</v>
      </c>
      <c r="H171" s="66">
        <f t="shared" si="43"/>
        <v>79.03168950600995</v>
      </c>
      <c r="I171" s="66"/>
      <c r="J171" s="66"/>
      <c r="K171" s="67"/>
      <c r="L171" s="32" t="s">
        <v>77</v>
      </c>
    </row>
    <row r="172" spans="1:12" s="31" customFormat="1" ht="16.5" customHeight="1">
      <c r="A172" s="29"/>
      <c r="B172" s="30"/>
      <c r="C172" s="76" t="s">
        <v>39</v>
      </c>
      <c r="D172" s="107">
        <v>267676.76</v>
      </c>
      <c r="E172" s="107">
        <v>218501.15</v>
      </c>
      <c r="F172" s="107">
        <v>211782.73</v>
      </c>
      <c r="G172" s="157">
        <f aca="true" t="shared" si="44" ref="G172:G185">F172/E172*100</f>
        <v>96.92522442101564</v>
      </c>
      <c r="H172" s="65">
        <f t="shared" si="43"/>
        <v>79.1188334766156</v>
      </c>
      <c r="I172" s="65">
        <f>I173+I174+I176+I177+I178+I179+I180+I182+I183+I184+I185+I186+I181+I175</f>
        <v>258559.79799999998</v>
      </c>
      <c r="J172" s="65">
        <f aca="true" t="shared" si="45" ref="J172:J186">I172-D172</f>
        <v>-9116.962000000029</v>
      </c>
      <c r="K172" s="84">
        <f aca="true" t="shared" si="46" ref="K172:K181">I172/D172</f>
        <v>0.965940405136404</v>
      </c>
      <c r="L172" s="21">
        <f>G172-95</f>
        <v>1.925224421015642</v>
      </c>
    </row>
    <row r="173" spans="1:14" s="128" customFormat="1" ht="26.25" customHeight="1" hidden="1">
      <c r="A173" s="1" t="s">
        <v>17</v>
      </c>
      <c r="B173" s="134"/>
      <c r="C173" s="76" t="s">
        <v>105</v>
      </c>
      <c r="D173" s="158">
        <v>29222.5</v>
      </c>
      <c r="E173" s="158">
        <v>18471.84</v>
      </c>
      <c r="F173" s="158">
        <v>18122.402</v>
      </c>
      <c r="G173" s="159">
        <f t="shared" si="44"/>
        <v>98.10826642067059</v>
      </c>
      <c r="H173" s="159">
        <f t="shared" si="43"/>
        <v>62.01523483617075</v>
      </c>
      <c r="I173" s="160">
        <v>28136</v>
      </c>
      <c r="J173" s="160">
        <f t="shared" si="45"/>
        <v>-1086.5</v>
      </c>
      <c r="K173" s="161">
        <f t="shared" si="46"/>
        <v>0.9628197450594576</v>
      </c>
      <c r="L173" s="162"/>
      <c r="M173" s="7"/>
      <c r="N173" s="16"/>
    </row>
    <row r="174" spans="1:13" s="128" customFormat="1" ht="54" customHeight="1" hidden="1">
      <c r="A174" s="1" t="s">
        <v>17</v>
      </c>
      <c r="B174" s="134"/>
      <c r="C174" s="76" t="s">
        <v>166</v>
      </c>
      <c r="D174" s="158">
        <f>2010+79.636</f>
        <v>2089.636</v>
      </c>
      <c r="E174" s="158">
        <f>804+79.636</f>
        <v>883.636</v>
      </c>
      <c r="F174" s="158">
        <f>470.03+79.636</f>
        <v>549.6659999999999</v>
      </c>
      <c r="G174" s="159">
        <f t="shared" si="44"/>
        <v>62.20502559877596</v>
      </c>
      <c r="H174" s="159">
        <f t="shared" si="43"/>
        <v>26.304389855458076</v>
      </c>
      <c r="I174" s="160">
        <v>793.4</v>
      </c>
      <c r="J174" s="160">
        <f t="shared" si="45"/>
        <v>-1296.2359999999999</v>
      </c>
      <c r="K174" s="161">
        <f t="shared" si="46"/>
        <v>0.37968335155022215</v>
      </c>
      <c r="L174" s="162"/>
      <c r="M174" s="125"/>
    </row>
    <row r="175" spans="1:13" s="128" customFormat="1" ht="39.75" customHeight="1" hidden="1">
      <c r="A175" s="1" t="s">
        <v>17</v>
      </c>
      <c r="B175" s="134"/>
      <c r="C175" s="76" t="s">
        <v>148</v>
      </c>
      <c r="D175" s="158">
        <v>46</v>
      </c>
      <c r="E175" s="158">
        <v>46</v>
      </c>
      <c r="F175" s="158">
        <v>46</v>
      </c>
      <c r="G175" s="159">
        <f t="shared" si="44"/>
        <v>100</v>
      </c>
      <c r="H175" s="159">
        <f>F175/D175*100</f>
        <v>100</v>
      </c>
      <c r="I175" s="160">
        <v>46</v>
      </c>
      <c r="J175" s="160">
        <f t="shared" si="45"/>
        <v>0</v>
      </c>
      <c r="K175" s="161">
        <f>I175/D175</f>
        <v>1</v>
      </c>
      <c r="L175" s="162"/>
      <c r="M175" s="125"/>
    </row>
    <row r="176" spans="1:13" s="128" customFormat="1" ht="27" customHeight="1" hidden="1">
      <c r="A176" s="1" t="s">
        <v>17</v>
      </c>
      <c r="B176" s="134"/>
      <c r="C176" s="76" t="s">
        <v>108</v>
      </c>
      <c r="D176" s="158">
        <v>21978.385</v>
      </c>
      <c r="E176" s="158">
        <v>13460.554</v>
      </c>
      <c r="F176" s="158">
        <v>13240.865</v>
      </c>
      <c r="G176" s="159">
        <f t="shared" si="44"/>
        <v>98.3679052140053</v>
      </c>
      <c r="H176" s="159">
        <f t="shared" si="43"/>
        <v>60.244940654192746</v>
      </c>
      <c r="I176" s="160">
        <v>21493.811</v>
      </c>
      <c r="J176" s="160">
        <f t="shared" si="45"/>
        <v>-484.5739999999969</v>
      </c>
      <c r="K176" s="161">
        <f t="shared" si="46"/>
        <v>0.9779522471737574</v>
      </c>
      <c r="L176" s="162"/>
      <c r="M176" s="125"/>
    </row>
    <row r="177" spans="1:13" s="128" customFormat="1" ht="27" customHeight="1" hidden="1">
      <c r="A177" s="1" t="s">
        <v>17</v>
      </c>
      <c r="B177" s="134"/>
      <c r="C177" s="76" t="s">
        <v>107</v>
      </c>
      <c r="D177" s="158">
        <v>1794.3</v>
      </c>
      <c r="E177" s="158">
        <v>1755.9</v>
      </c>
      <c r="F177" s="158">
        <v>1738.461</v>
      </c>
      <c r="G177" s="159">
        <f t="shared" si="44"/>
        <v>99.00683410216983</v>
      </c>
      <c r="H177" s="159">
        <f aca="true" t="shared" si="47" ref="H177:H186">F177/D177*100</f>
        <v>96.88797859889651</v>
      </c>
      <c r="I177" s="160">
        <v>1749.8</v>
      </c>
      <c r="J177" s="160">
        <f t="shared" si="45"/>
        <v>-44.5</v>
      </c>
      <c r="K177" s="161">
        <f t="shared" si="46"/>
        <v>0.9751992420442512</v>
      </c>
      <c r="L177" s="162"/>
      <c r="M177" s="125"/>
    </row>
    <row r="178" spans="1:13" s="128" customFormat="1" ht="27" customHeight="1" hidden="1">
      <c r="A178" s="1" t="s">
        <v>17</v>
      </c>
      <c r="B178" s="134"/>
      <c r="C178" s="76" t="s">
        <v>106</v>
      </c>
      <c r="D178" s="158">
        <v>2416.4</v>
      </c>
      <c r="E178" s="158">
        <v>1246.616</v>
      </c>
      <c r="F178" s="158">
        <v>491.511</v>
      </c>
      <c r="G178" s="159">
        <f t="shared" si="44"/>
        <v>39.42761844866423</v>
      </c>
      <c r="H178" s="159">
        <f t="shared" si="47"/>
        <v>20.340630690283064</v>
      </c>
      <c r="I178" s="160">
        <v>1585.299</v>
      </c>
      <c r="J178" s="160">
        <f t="shared" si="45"/>
        <v>-831.1010000000001</v>
      </c>
      <c r="K178" s="161">
        <f t="shared" si="46"/>
        <v>0.6560581857308392</v>
      </c>
      <c r="L178" s="162"/>
      <c r="M178" s="125"/>
    </row>
    <row r="179" spans="1:13" s="128" customFormat="1" ht="29.25" customHeight="1" hidden="1">
      <c r="A179" s="1" t="s">
        <v>17</v>
      </c>
      <c r="B179" s="134"/>
      <c r="C179" s="76" t="s">
        <v>109</v>
      </c>
      <c r="D179" s="158">
        <v>3236.7</v>
      </c>
      <c r="E179" s="158">
        <v>2178.6</v>
      </c>
      <c r="F179" s="158">
        <v>1631.971</v>
      </c>
      <c r="G179" s="159">
        <f>F179/E179*100</f>
        <v>74.90916184705775</v>
      </c>
      <c r="H179" s="159">
        <f t="shared" si="47"/>
        <v>50.42082985757098</v>
      </c>
      <c r="I179" s="160">
        <v>2469.238</v>
      </c>
      <c r="J179" s="160">
        <f t="shared" si="45"/>
        <v>-767.462</v>
      </c>
      <c r="K179" s="161">
        <f t="shared" si="46"/>
        <v>0.7628875088825038</v>
      </c>
      <c r="L179" s="162"/>
      <c r="M179" s="125"/>
    </row>
    <row r="180" spans="1:13" s="128" customFormat="1" ht="27" customHeight="1" hidden="1">
      <c r="A180" s="1" t="s">
        <v>17</v>
      </c>
      <c r="B180" s="134"/>
      <c r="C180" s="76" t="s">
        <v>120</v>
      </c>
      <c r="D180" s="158">
        <v>1746.2</v>
      </c>
      <c r="E180" s="158">
        <v>876.06</v>
      </c>
      <c r="F180" s="158">
        <v>875.636</v>
      </c>
      <c r="G180" s="164">
        <f t="shared" si="44"/>
        <v>99.95160148848252</v>
      </c>
      <c r="H180" s="159">
        <f t="shared" si="47"/>
        <v>50.14522964150727</v>
      </c>
      <c r="I180" s="160">
        <v>1746.1</v>
      </c>
      <c r="J180" s="160">
        <f t="shared" si="45"/>
        <v>-0.10000000000013642</v>
      </c>
      <c r="K180" s="161">
        <f t="shared" si="46"/>
        <v>0.9999427327912037</v>
      </c>
      <c r="L180" s="162"/>
      <c r="M180" s="125"/>
    </row>
    <row r="181" spans="1:13" s="128" customFormat="1" ht="39.75" customHeight="1" hidden="1">
      <c r="A181" s="1" t="s">
        <v>17</v>
      </c>
      <c r="B181" s="134"/>
      <c r="C181" s="76" t="s">
        <v>174</v>
      </c>
      <c r="D181" s="158">
        <f>3791.312+99</f>
        <v>3890.312</v>
      </c>
      <c r="E181" s="158">
        <v>0</v>
      </c>
      <c r="F181" s="158">
        <v>0</v>
      </c>
      <c r="G181" s="159">
        <v>0</v>
      </c>
      <c r="H181" s="159">
        <f>F181/D181*100</f>
        <v>0</v>
      </c>
      <c r="I181" s="160">
        <v>2953.96</v>
      </c>
      <c r="J181" s="160">
        <f t="shared" si="45"/>
        <v>-936.3519999999999</v>
      </c>
      <c r="K181" s="161">
        <f t="shared" si="46"/>
        <v>0.759311849538032</v>
      </c>
      <c r="L181" s="162"/>
      <c r="M181" s="125"/>
    </row>
    <row r="182" spans="1:13" s="128" customFormat="1" ht="26.25" customHeight="1" hidden="1">
      <c r="A182" s="122" t="s">
        <v>17</v>
      </c>
      <c r="B182" s="123"/>
      <c r="C182" s="124" t="s">
        <v>176</v>
      </c>
      <c r="D182" s="158">
        <v>0</v>
      </c>
      <c r="E182" s="158">
        <v>0</v>
      </c>
      <c r="F182" s="158">
        <v>0</v>
      </c>
      <c r="G182" s="159">
        <v>0</v>
      </c>
      <c r="H182" s="159">
        <v>0</v>
      </c>
      <c r="I182" s="160">
        <v>0</v>
      </c>
      <c r="J182" s="160">
        <f t="shared" si="45"/>
        <v>0</v>
      </c>
      <c r="K182" s="161">
        <v>0</v>
      </c>
      <c r="L182" s="162"/>
      <c r="M182" s="125"/>
    </row>
    <row r="183" spans="1:13" s="128" customFormat="1" ht="27" customHeight="1" hidden="1">
      <c r="A183" s="1" t="s">
        <v>17</v>
      </c>
      <c r="B183" s="134"/>
      <c r="C183" s="138" t="s">
        <v>121</v>
      </c>
      <c r="D183" s="158">
        <v>190719.099</v>
      </c>
      <c r="E183" s="158">
        <v>127794.697</v>
      </c>
      <c r="F183" s="158">
        <v>126716.41</v>
      </c>
      <c r="G183" s="159">
        <f t="shared" si="44"/>
        <v>99.15623494142326</v>
      </c>
      <c r="H183" s="159">
        <f t="shared" si="47"/>
        <v>66.44138456211982</v>
      </c>
      <c r="I183" s="160">
        <v>187268.99</v>
      </c>
      <c r="J183" s="160">
        <f t="shared" si="45"/>
        <v>-3450.1089999999967</v>
      </c>
      <c r="K183" s="161">
        <f>I183/D183</f>
        <v>0.9819099973831148</v>
      </c>
      <c r="L183" s="162"/>
      <c r="M183" s="125"/>
    </row>
    <row r="184" spans="1:13" s="128" customFormat="1" ht="27" customHeight="1" hidden="1">
      <c r="A184" s="1" t="s">
        <v>17</v>
      </c>
      <c r="B184" s="134"/>
      <c r="C184" s="141" t="s">
        <v>122</v>
      </c>
      <c r="D184" s="158">
        <v>155.6</v>
      </c>
      <c r="E184" s="158">
        <v>110.6</v>
      </c>
      <c r="F184" s="158">
        <v>110.6</v>
      </c>
      <c r="G184" s="159">
        <f t="shared" si="44"/>
        <v>100</v>
      </c>
      <c r="H184" s="159">
        <f t="shared" si="47"/>
        <v>71.0796915167095</v>
      </c>
      <c r="I184" s="160">
        <v>110.6</v>
      </c>
      <c r="J184" s="160">
        <f t="shared" si="45"/>
        <v>-45</v>
      </c>
      <c r="K184" s="161">
        <f>I184/D184</f>
        <v>0.7107969151670951</v>
      </c>
      <c r="L184" s="162"/>
      <c r="M184" s="125"/>
    </row>
    <row r="185" spans="1:13" s="128" customFormat="1" ht="27" customHeight="1" hidden="1">
      <c r="A185" s="1" t="s">
        <v>17</v>
      </c>
      <c r="B185" s="134"/>
      <c r="C185" s="138" t="s">
        <v>123</v>
      </c>
      <c r="D185" s="158">
        <v>1776.1</v>
      </c>
      <c r="E185" s="158">
        <v>1471.193</v>
      </c>
      <c r="F185" s="158">
        <v>1202.297</v>
      </c>
      <c r="G185" s="159">
        <f t="shared" si="44"/>
        <v>81.72258840274526</v>
      </c>
      <c r="H185" s="159">
        <f t="shared" si="47"/>
        <v>67.69309160520241</v>
      </c>
      <c r="I185" s="160">
        <v>1740.5</v>
      </c>
      <c r="J185" s="160">
        <f t="shared" si="45"/>
        <v>-35.59999999999991</v>
      </c>
      <c r="K185" s="161">
        <f>I185/D185</f>
        <v>0.979956083553854</v>
      </c>
      <c r="L185" s="162"/>
      <c r="M185" s="125"/>
    </row>
    <row r="186" spans="1:13" s="128" customFormat="1" ht="52.5" customHeight="1" hidden="1">
      <c r="A186" s="1" t="s">
        <v>17</v>
      </c>
      <c r="B186" s="134"/>
      <c r="C186" s="76" t="s">
        <v>110</v>
      </c>
      <c r="D186" s="158">
        <v>9389.3</v>
      </c>
      <c r="E186" s="158">
        <v>6254.86</v>
      </c>
      <c r="F186" s="158">
        <v>4729.476</v>
      </c>
      <c r="G186" s="159">
        <f aca="true" t="shared" si="48" ref="G186:G193">F186/E186*100</f>
        <v>75.6128194715789</v>
      </c>
      <c r="H186" s="159">
        <f t="shared" si="47"/>
        <v>50.370911569552575</v>
      </c>
      <c r="I186" s="160">
        <v>8466.1</v>
      </c>
      <c r="J186" s="160">
        <f t="shared" si="45"/>
        <v>-923.1999999999989</v>
      </c>
      <c r="K186" s="161">
        <f>I186/D186</f>
        <v>0.9016753112585604</v>
      </c>
      <c r="L186" s="162"/>
      <c r="M186" s="125"/>
    </row>
    <row r="187" spans="1:12" s="7" customFormat="1" ht="16.5" customHeight="1">
      <c r="A187" s="27"/>
      <c r="B187" s="28"/>
      <c r="C187" s="76" t="s">
        <v>40</v>
      </c>
      <c r="D187" s="107">
        <v>4102.8</v>
      </c>
      <c r="E187" s="107">
        <v>3072.57</v>
      </c>
      <c r="F187" s="171">
        <v>3009.248</v>
      </c>
      <c r="G187" s="65">
        <f t="shared" si="48"/>
        <v>97.93911936912747</v>
      </c>
      <c r="H187" s="65">
        <f aca="true" t="shared" si="49" ref="H187:H275">F187/D187*100</f>
        <v>73.34620259335088</v>
      </c>
      <c r="I187" s="65"/>
      <c r="J187" s="65"/>
      <c r="K187" s="67"/>
      <c r="L187" s="21">
        <f>G187-95</f>
        <v>2.939119369127468</v>
      </c>
    </row>
    <row r="188" spans="1:12" s="7" customFormat="1" ht="28.5" customHeight="1">
      <c r="A188" s="1" t="s">
        <v>19</v>
      </c>
      <c r="B188" s="2" t="s">
        <v>20</v>
      </c>
      <c r="C188" s="2" t="s">
        <v>49</v>
      </c>
      <c r="D188" s="113">
        <f>D189+D204</f>
        <v>60530.4</v>
      </c>
      <c r="E188" s="113">
        <f>E189+E204</f>
        <v>52728.569</v>
      </c>
      <c r="F188" s="113">
        <f>F189+F204</f>
        <v>43796.393000000004</v>
      </c>
      <c r="G188" s="66">
        <f t="shared" si="48"/>
        <v>83.06008266600219</v>
      </c>
      <c r="H188" s="66">
        <f t="shared" si="49"/>
        <v>72.35437565256466</v>
      </c>
      <c r="I188" s="66"/>
      <c r="J188" s="66"/>
      <c r="K188" s="67"/>
      <c r="L188" s="32" t="s">
        <v>77</v>
      </c>
    </row>
    <row r="189" spans="1:12" s="31" customFormat="1" ht="17.25" customHeight="1">
      <c r="A189" s="29"/>
      <c r="B189" s="30"/>
      <c r="C189" s="76" t="s">
        <v>39</v>
      </c>
      <c r="D189" s="107">
        <v>59680.4</v>
      </c>
      <c r="E189" s="107">
        <v>51994.569</v>
      </c>
      <c r="F189" s="107">
        <v>43107.504</v>
      </c>
      <c r="G189" s="65">
        <f t="shared" si="48"/>
        <v>82.90770522590542</v>
      </c>
      <c r="H189" s="65">
        <f t="shared" si="49"/>
        <v>72.23058826683467</v>
      </c>
      <c r="I189" s="65">
        <f>I190+I191+I193+I194+I195+I196+I197+I199+I200+I201+I202+I203+I198+I192</f>
        <v>50088.600000000006</v>
      </c>
      <c r="J189" s="65">
        <f aca="true" t="shared" si="50" ref="J189:J203">I189-D189</f>
        <v>-9591.799999999996</v>
      </c>
      <c r="K189" s="84">
        <f aca="true" t="shared" si="51" ref="K189:K203">I189/D189</f>
        <v>0.8392805678246125</v>
      </c>
      <c r="L189" s="21">
        <f>G189-95</f>
        <v>-12.092294774094583</v>
      </c>
    </row>
    <row r="190" spans="1:13" s="128" customFormat="1" ht="26.25" customHeight="1" hidden="1">
      <c r="A190" s="1" t="s">
        <v>19</v>
      </c>
      <c r="B190" s="134"/>
      <c r="C190" s="76" t="s">
        <v>105</v>
      </c>
      <c r="D190" s="158">
        <v>9532.3</v>
      </c>
      <c r="E190" s="158">
        <v>5655.873</v>
      </c>
      <c r="F190" s="158">
        <v>5323.697</v>
      </c>
      <c r="G190" s="159">
        <f t="shared" si="48"/>
        <v>94.12688368356221</v>
      </c>
      <c r="H190" s="159">
        <f t="shared" si="49"/>
        <v>55.84902909056577</v>
      </c>
      <c r="I190" s="160">
        <v>9291.2</v>
      </c>
      <c r="J190" s="160">
        <f t="shared" si="50"/>
        <v>-241.09999999999854</v>
      </c>
      <c r="K190" s="161">
        <f t="shared" si="51"/>
        <v>0.9747070486661144</v>
      </c>
      <c r="L190" s="162"/>
      <c r="M190" s="7"/>
    </row>
    <row r="191" spans="1:13" s="128" customFormat="1" ht="54" customHeight="1" hidden="1">
      <c r="A191" s="1" t="s">
        <v>19</v>
      </c>
      <c r="B191" s="134"/>
      <c r="C191" s="76" t="s">
        <v>166</v>
      </c>
      <c r="D191" s="158">
        <v>130</v>
      </c>
      <c r="E191" s="158">
        <v>68.852</v>
      </c>
      <c r="F191" s="158">
        <v>68.161</v>
      </c>
      <c r="G191" s="159">
        <f t="shared" si="48"/>
        <v>98.99639807122523</v>
      </c>
      <c r="H191" s="159">
        <f>F191/D191*100</f>
        <v>52.431538461538466</v>
      </c>
      <c r="I191" s="160">
        <v>103.7</v>
      </c>
      <c r="J191" s="160">
        <f t="shared" si="50"/>
        <v>-26.299999999999997</v>
      </c>
      <c r="K191" s="161">
        <f t="shared" si="51"/>
        <v>0.7976923076923077</v>
      </c>
      <c r="L191" s="162"/>
      <c r="M191" s="125"/>
    </row>
    <row r="192" spans="1:13" s="128" customFormat="1" ht="39.75" customHeight="1" hidden="1">
      <c r="A192" s="1" t="s">
        <v>19</v>
      </c>
      <c r="B192" s="134"/>
      <c r="C192" s="76" t="s">
        <v>148</v>
      </c>
      <c r="D192" s="158">
        <v>32.7</v>
      </c>
      <c r="E192" s="158">
        <v>32.7</v>
      </c>
      <c r="F192" s="165">
        <v>32.662</v>
      </c>
      <c r="G192" s="159">
        <f t="shared" si="48"/>
        <v>99.88379204892965</v>
      </c>
      <c r="H192" s="159">
        <f>F192/D192*100</f>
        <v>99.88379204892965</v>
      </c>
      <c r="I192" s="160">
        <v>32.7</v>
      </c>
      <c r="J192" s="160">
        <f t="shared" si="50"/>
        <v>0</v>
      </c>
      <c r="K192" s="161">
        <f>I192/D192</f>
        <v>1</v>
      </c>
      <c r="L192" s="162"/>
      <c r="M192" s="7"/>
    </row>
    <row r="193" spans="1:13" s="128" customFormat="1" ht="27" customHeight="1" hidden="1">
      <c r="A193" s="1" t="s">
        <v>19</v>
      </c>
      <c r="B193" s="134"/>
      <c r="C193" s="76" t="s">
        <v>108</v>
      </c>
      <c r="D193" s="158">
        <v>3066.3</v>
      </c>
      <c r="E193" s="158">
        <v>1695.722</v>
      </c>
      <c r="F193" s="158">
        <v>1695.722</v>
      </c>
      <c r="G193" s="159">
        <f t="shared" si="48"/>
        <v>100</v>
      </c>
      <c r="H193" s="159">
        <f t="shared" si="49"/>
        <v>55.30189479176858</v>
      </c>
      <c r="I193" s="160">
        <v>3056.3</v>
      </c>
      <c r="J193" s="160">
        <f t="shared" si="50"/>
        <v>-10</v>
      </c>
      <c r="K193" s="161">
        <f t="shared" si="51"/>
        <v>0.9967387405015817</v>
      </c>
      <c r="L193" s="162"/>
      <c r="M193" s="125"/>
    </row>
    <row r="194" spans="1:13" s="128" customFormat="1" ht="27" customHeight="1" hidden="1">
      <c r="A194" s="1" t="s">
        <v>19</v>
      </c>
      <c r="B194" s="134"/>
      <c r="C194" s="76" t="s">
        <v>107</v>
      </c>
      <c r="D194" s="158">
        <v>240.4</v>
      </c>
      <c r="E194" s="158">
        <v>192.1</v>
      </c>
      <c r="F194" s="158">
        <v>192.1</v>
      </c>
      <c r="G194" s="159">
        <f aca="true" t="shared" si="52" ref="G194:G200">F194/E194*100</f>
        <v>100</v>
      </c>
      <c r="H194" s="159">
        <f aca="true" t="shared" si="53" ref="H194:H200">F194/D194*100</f>
        <v>79.90848585690516</v>
      </c>
      <c r="I194" s="160">
        <v>192.1</v>
      </c>
      <c r="J194" s="160">
        <f t="shared" si="50"/>
        <v>-48.30000000000001</v>
      </c>
      <c r="K194" s="161">
        <f t="shared" si="51"/>
        <v>0.7990848585690515</v>
      </c>
      <c r="L194" s="162"/>
      <c r="M194" s="125"/>
    </row>
    <row r="195" spans="1:13" s="128" customFormat="1" ht="27" customHeight="1" hidden="1">
      <c r="A195" s="1" t="s">
        <v>19</v>
      </c>
      <c r="B195" s="134"/>
      <c r="C195" s="76" t="s">
        <v>106</v>
      </c>
      <c r="D195" s="158">
        <v>209.7</v>
      </c>
      <c r="E195" s="158">
        <v>209.7</v>
      </c>
      <c r="F195" s="158">
        <v>209.7</v>
      </c>
      <c r="G195" s="159">
        <f t="shared" si="52"/>
        <v>100</v>
      </c>
      <c r="H195" s="159">
        <f t="shared" si="53"/>
        <v>100</v>
      </c>
      <c r="I195" s="160">
        <v>209.7</v>
      </c>
      <c r="J195" s="160">
        <f t="shared" si="50"/>
        <v>0</v>
      </c>
      <c r="K195" s="161">
        <f t="shared" si="51"/>
        <v>1</v>
      </c>
      <c r="L195" s="162"/>
      <c r="M195" s="125"/>
    </row>
    <row r="196" spans="1:13" s="128" customFormat="1" ht="27.75" customHeight="1" hidden="1">
      <c r="A196" s="1" t="s">
        <v>19</v>
      </c>
      <c r="B196" s="134"/>
      <c r="C196" s="76" t="s">
        <v>109</v>
      </c>
      <c r="D196" s="158">
        <v>759.8</v>
      </c>
      <c r="E196" s="158">
        <v>509.407</v>
      </c>
      <c r="F196" s="158">
        <v>509.407</v>
      </c>
      <c r="G196" s="159">
        <f t="shared" si="52"/>
        <v>100</v>
      </c>
      <c r="H196" s="159">
        <f t="shared" si="53"/>
        <v>67.04488023163991</v>
      </c>
      <c r="I196" s="160">
        <v>759.8</v>
      </c>
      <c r="J196" s="160">
        <f t="shared" si="50"/>
        <v>0</v>
      </c>
      <c r="K196" s="161">
        <f t="shared" si="51"/>
        <v>1</v>
      </c>
      <c r="L196" s="162"/>
      <c r="M196" s="125"/>
    </row>
    <row r="197" spans="1:13" s="128" customFormat="1" ht="27" customHeight="1" hidden="1">
      <c r="A197" s="1" t="s">
        <v>19</v>
      </c>
      <c r="B197" s="134"/>
      <c r="C197" s="76" t="s">
        <v>120</v>
      </c>
      <c r="D197" s="158">
        <v>64</v>
      </c>
      <c r="E197" s="158">
        <v>64</v>
      </c>
      <c r="F197" s="158">
        <v>64</v>
      </c>
      <c r="G197" s="159">
        <f t="shared" si="52"/>
        <v>100</v>
      </c>
      <c r="H197" s="159">
        <f>F197/D197*100</f>
        <v>100</v>
      </c>
      <c r="I197" s="160">
        <v>64</v>
      </c>
      <c r="J197" s="160">
        <f t="shared" si="50"/>
        <v>0</v>
      </c>
      <c r="K197" s="161">
        <f t="shared" si="51"/>
        <v>1</v>
      </c>
      <c r="L197" s="162"/>
      <c r="M197" s="125"/>
    </row>
    <row r="198" spans="1:13" s="128" customFormat="1" ht="27.75" customHeight="1" hidden="1">
      <c r="A198" s="1" t="s">
        <v>19</v>
      </c>
      <c r="B198" s="134"/>
      <c r="C198" s="142" t="s">
        <v>173</v>
      </c>
      <c r="D198" s="158">
        <v>168.14</v>
      </c>
      <c r="E198" s="158">
        <v>0</v>
      </c>
      <c r="F198" s="158">
        <v>0</v>
      </c>
      <c r="G198" s="159">
        <v>0</v>
      </c>
      <c r="H198" s="159">
        <f>F198/D198*100</f>
        <v>0</v>
      </c>
      <c r="I198" s="160">
        <v>163</v>
      </c>
      <c r="J198" s="160">
        <f t="shared" si="50"/>
        <v>-5.139999999999986</v>
      </c>
      <c r="K198" s="161">
        <f>I198/D198</f>
        <v>0.9694302367075057</v>
      </c>
      <c r="L198" s="162"/>
      <c r="M198" s="125"/>
    </row>
    <row r="199" spans="1:13" s="128" customFormat="1" ht="26.25" customHeight="1" hidden="1">
      <c r="A199" s="122" t="s">
        <v>19</v>
      </c>
      <c r="B199" s="123"/>
      <c r="C199" s="124" t="s">
        <v>176</v>
      </c>
      <c r="D199" s="158">
        <v>0</v>
      </c>
      <c r="E199" s="158">
        <v>0</v>
      </c>
      <c r="F199" s="158">
        <v>0</v>
      </c>
      <c r="G199" s="159">
        <v>0</v>
      </c>
      <c r="H199" s="159">
        <v>0</v>
      </c>
      <c r="I199" s="160">
        <v>0</v>
      </c>
      <c r="J199" s="160">
        <f t="shared" si="50"/>
        <v>0</v>
      </c>
      <c r="K199" s="161" t="e">
        <f t="shared" si="51"/>
        <v>#DIV/0!</v>
      </c>
      <c r="L199" s="162"/>
      <c r="M199" s="125"/>
    </row>
    <row r="200" spans="1:13" s="128" customFormat="1" ht="27" customHeight="1" hidden="1">
      <c r="A200" s="1" t="s">
        <v>19</v>
      </c>
      <c r="B200" s="134"/>
      <c r="C200" s="138" t="s">
        <v>121</v>
      </c>
      <c r="D200" s="158">
        <v>39794.28</v>
      </c>
      <c r="E200" s="158">
        <v>22691.811</v>
      </c>
      <c r="F200" s="158">
        <v>20298.581</v>
      </c>
      <c r="G200" s="159">
        <f t="shared" si="52"/>
        <v>89.4533318649622</v>
      </c>
      <c r="H200" s="159">
        <f t="shared" si="53"/>
        <v>51.00879071062474</v>
      </c>
      <c r="I200" s="160">
        <v>35036.8</v>
      </c>
      <c r="J200" s="160">
        <f t="shared" si="50"/>
        <v>-4757.479999999996</v>
      </c>
      <c r="K200" s="161">
        <f t="shared" si="51"/>
        <v>0.8804481448087516</v>
      </c>
      <c r="L200" s="162"/>
      <c r="M200" s="125"/>
    </row>
    <row r="201" spans="1:13" s="128" customFormat="1" ht="26.25" customHeight="1" hidden="1">
      <c r="A201" s="122" t="s">
        <v>19</v>
      </c>
      <c r="B201" s="123"/>
      <c r="C201" s="131" t="s">
        <v>122</v>
      </c>
      <c r="D201" s="158">
        <v>0</v>
      </c>
      <c r="E201" s="158">
        <v>0</v>
      </c>
      <c r="F201" s="158">
        <v>0</v>
      </c>
      <c r="G201" s="159">
        <v>0</v>
      </c>
      <c r="H201" s="159">
        <v>0</v>
      </c>
      <c r="I201" s="160">
        <v>0</v>
      </c>
      <c r="J201" s="160">
        <f t="shared" si="50"/>
        <v>0</v>
      </c>
      <c r="K201" s="161">
        <v>0</v>
      </c>
      <c r="L201" s="162"/>
      <c r="M201" s="125"/>
    </row>
    <row r="202" spans="1:13" s="128" customFormat="1" ht="27" customHeight="1" hidden="1">
      <c r="A202" s="1" t="s">
        <v>19</v>
      </c>
      <c r="B202" s="134"/>
      <c r="C202" s="138" t="s">
        <v>123</v>
      </c>
      <c r="D202" s="158">
        <v>811.8</v>
      </c>
      <c r="E202" s="158">
        <v>611.225</v>
      </c>
      <c r="F202" s="158">
        <v>448.362</v>
      </c>
      <c r="G202" s="159">
        <f aca="true" t="shared" si="54" ref="G202:G219">F202/E202*100</f>
        <v>73.3546566321731</v>
      </c>
      <c r="H202" s="159">
        <f>F202/D202*100</f>
        <v>55.23059866962306</v>
      </c>
      <c r="I202" s="160">
        <v>811.8</v>
      </c>
      <c r="J202" s="160">
        <f t="shared" si="50"/>
        <v>0</v>
      </c>
      <c r="K202" s="161">
        <f t="shared" si="51"/>
        <v>1</v>
      </c>
      <c r="L202" s="162"/>
      <c r="M202" s="125"/>
    </row>
    <row r="203" spans="1:13" s="128" customFormat="1" ht="53.25" customHeight="1" hidden="1">
      <c r="A203" s="1" t="s">
        <v>19</v>
      </c>
      <c r="B203" s="134"/>
      <c r="C203" s="76" t="s">
        <v>110</v>
      </c>
      <c r="D203" s="158">
        <v>367.5</v>
      </c>
      <c r="E203" s="158">
        <v>244.9</v>
      </c>
      <c r="F203" s="158">
        <v>244.9</v>
      </c>
      <c r="G203" s="159">
        <f t="shared" si="54"/>
        <v>100</v>
      </c>
      <c r="H203" s="159">
        <f>F203/D203*100</f>
        <v>66.63945578231292</v>
      </c>
      <c r="I203" s="160">
        <v>367.5</v>
      </c>
      <c r="J203" s="160">
        <f t="shared" si="50"/>
        <v>0</v>
      </c>
      <c r="K203" s="161">
        <f t="shared" si="51"/>
        <v>1</v>
      </c>
      <c r="L203" s="162"/>
      <c r="M203" s="125"/>
    </row>
    <row r="204" spans="1:12" s="7" customFormat="1" ht="16.5" customHeight="1">
      <c r="A204" s="27"/>
      <c r="B204" s="28"/>
      <c r="C204" s="76" t="s">
        <v>40</v>
      </c>
      <c r="D204" s="107">
        <v>850</v>
      </c>
      <c r="E204" s="107">
        <v>734</v>
      </c>
      <c r="F204" s="171">
        <v>688.889</v>
      </c>
      <c r="G204" s="65">
        <f t="shared" si="54"/>
        <v>93.85408719346049</v>
      </c>
      <c r="H204" s="65">
        <f t="shared" si="49"/>
        <v>81.04576470588235</v>
      </c>
      <c r="I204" s="65"/>
      <c r="J204" s="65"/>
      <c r="K204" s="67"/>
      <c r="L204" s="21">
        <f>G204-95</f>
        <v>-1.1459128065395134</v>
      </c>
    </row>
    <row r="205" spans="1:12" s="7" customFormat="1" ht="38.25">
      <c r="A205" s="1" t="s">
        <v>185</v>
      </c>
      <c r="B205" s="2" t="s">
        <v>187</v>
      </c>
      <c r="C205" s="2" t="s">
        <v>186</v>
      </c>
      <c r="D205" s="113">
        <f>D206+D207</f>
        <v>1381418.254</v>
      </c>
      <c r="E205" s="113">
        <f>E206+E207</f>
        <v>1226468.852</v>
      </c>
      <c r="F205" s="180">
        <f>F207+F206</f>
        <v>908060.348</v>
      </c>
      <c r="G205" s="66">
        <f t="shared" si="54"/>
        <v>74.03859841358613</v>
      </c>
      <c r="H205" s="66">
        <f t="shared" si="49"/>
        <v>65.73391841107089</v>
      </c>
      <c r="I205" s="66"/>
      <c r="J205" s="66"/>
      <c r="K205" s="67"/>
      <c r="L205" s="32" t="s">
        <v>77</v>
      </c>
    </row>
    <row r="206" spans="1:12" s="7" customFormat="1" ht="28.5" customHeight="1">
      <c r="A206" s="256"/>
      <c r="B206" s="257"/>
      <c r="C206" s="76" t="s">
        <v>39</v>
      </c>
      <c r="D206" s="107">
        <f>965380.015</f>
        <v>965380.015</v>
      </c>
      <c r="E206" s="107">
        <v>854199.948</v>
      </c>
      <c r="F206" s="171">
        <v>632386.093</v>
      </c>
      <c r="G206" s="65">
        <f t="shared" si="54"/>
        <v>74.03256046557381</v>
      </c>
      <c r="H206" s="65">
        <f t="shared" si="49"/>
        <v>65.50644131575481</v>
      </c>
      <c r="I206" s="65"/>
      <c r="J206" s="65"/>
      <c r="K206" s="67"/>
      <c r="L206" s="21">
        <f>G206-95</f>
        <v>-20.96743953442619</v>
      </c>
    </row>
    <row r="207" spans="1:12" s="7" customFormat="1" ht="25.5">
      <c r="A207" s="256"/>
      <c r="B207" s="257"/>
      <c r="C207" s="76" t="s">
        <v>83</v>
      </c>
      <c r="D207" s="107">
        <f>416038.239</f>
        <v>416038.239</v>
      </c>
      <c r="E207" s="107">
        <v>372268.904</v>
      </c>
      <c r="F207" s="171">
        <v>275674.255</v>
      </c>
      <c r="G207" s="65">
        <f t="shared" si="54"/>
        <v>74.05245295481355</v>
      </c>
      <c r="H207" s="65">
        <f t="shared" si="49"/>
        <v>66.26175893413489</v>
      </c>
      <c r="I207" s="65"/>
      <c r="J207" s="65"/>
      <c r="K207" s="67"/>
      <c r="L207" s="21">
        <f>G207-95</f>
        <v>-20.947547045186454</v>
      </c>
    </row>
    <row r="208" spans="1:12" s="188" customFormat="1" ht="38.25" hidden="1">
      <c r="A208" s="195" t="s">
        <v>21</v>
      </c>
      <c r="B208" s="183" t="s">
        <v>193</v>
      </c>
      <c r="C208" s="183" t="s">
        <v>53</v>
      </c>
      <c r="D208" s="184">
        <f>D209+D212</f>
        <v>627160.495</v>
      </c>
      <c r="E208" s="184">
        <f>E209+E212</f>
        <v>555330.921</v>
      </c>
      <c r="F208" s="184">
        <f>F209+F212</f>
        <v>0</v>
      </c>
      <c r="G208" s="185">
        <f t="shared" si="54"/>
        <v>0</v>
      </c>
      <c r="H208" s="185">
        <f t="shared" si="49"/>
        <v>0</v>
      </c>
      <c r="I208" s="185"/>
      <c r="J208" s="185"/>
      <c r="K208" s="186"/>
      <c r="L208" s="187" t="s">
        <v>77</v>
      </c>
    </row>
    <row r="209" spans="1:12" s="194" customFormat="1" ht="33" customHeight="1" hidden="1">
      <c r="A209" s="200"/>
      <c r="B209" s="216"/>
      <c r="C209" s="202" t="s">
        <v>39</v>
      </c>
      <c r="D209" s="190">
        <v>412795.974</v>
      </c>
      <c r="E209" s="190">
        <v>356462.017</v>
      </c>
      <c r="F209" s="190">
        <v>0</v>
      </c>
      <c r="G209" s="191">
        <f t="shared" si="54"/>
        <v>0</v>
      </c>
      <c r="H209" s="191">
        <f t="shared" si="49"/>
        <v>0</v>
      </c>
      <c r="I209" s="191">
        <v>0</v>
      </c>
      <c r="J209" s="191">
        <f>I209-D209</f>
        <v>-412795.974</v>
      </c>
      <c r="K209" s="192">
        <f>I209/D209</f>
        <v>0</v>
      </c>
      <c r="L209" s="193">
        <f>G209-95</f>
        <v>-95</v>
      </c>
    </row>
    <row r="210" spans="1:12" s="208" customFormat="1" ht="25.5" hidden="1">
      <c r="A210" s="195" t="s">
        <v>21</v>
      </c>
      <c r="B210" s="196"/>
      <c r="C210" s="202" t="s">
        <v>105</v>
      </c>
      <c r="D210" s="190">
        <v>0</v>
      </c>
      <c r="E210" s="190">
        <v>0</v>
      </c>
      <c r="F210" s="190">
        <v>0</v>
      </c>
      <c r="G210" s="185" t="e">
        <f t="shared" si="54"/>
        <v>#DIV/0!</v>
      </c>
      <c r="H210" s="185" t="e">
        <f t="shared" si="49"/>
        <v>#DIV/0!</v>
      </c>
      <c r="I210" s="191">
        <v>0</v>
      </c>
      <c r="J210" s="191">
        <f>I210-D210</f>
        <v>0</v>
      </c>
      <c r="K210" s="186" t="e">
        <f>I210/D210</f>
        <v>#DIV/0!</v>
      </c>
      <c r="L210" s="193"/>
    </row>
    <row r="211" spans="1:12" s="208" customFormat="1" ht="25.5" hidden="1">
      <c r="A211" s="195" t="s">
        <v>21</v>
      </c>
      <c r="B211" s="196"/>
      <c r="C211" s="202" t="s">
        <v>171</v>
      </c>
      <c r="D211" s="190">
        <v>0</v>
      </c>
      <c r="E211" s="190">
        <v>0</v>
      </c>
      <c r="F211" s="190">
        <v>0</v>
      </c>
      <c r="G211" s="185" t="e">
        <f t="shared" si="54"/>
        <v>#DIV/0!</v>
      </c>
      <c r="H211" s="185" t="e">
        <f t="shared" si="49"/>
        <v>#DIV/0!</v>
      </c>
      <c r="I211" s="191">
        <v>0</v>
      </c>
      <c r="J211" s="191">
        <f>I211-D211</f>
        <v>0</v>
      </c>
      <c r="K211" s="186" t="e">
        <f>I211/D211</f>
        <v>#DIV/0!</v>
      </c>
      <c r="L211" s="193"/>
    </row>
    <row r="212" spans="1:12" s="188" customFormat="1" ht="25.5" hidden="1">
      <c r="A212" s="217"/>
      <c r="B212" s="218"/>
      <c r="C212" s="202" t="s">
        <v>83</v>
      </c>
      <c r="D212" s="190">
        <v>214364.521</v>
      </c>
      <c r="E212" s="190">
        <v>198868.904</v>
      </c>
      <c r="F212" s="190">
        <v>0</v>
      </c>
      <c r="G212" s="191">
        <v>0</v>
      </c>
      <c r="H212" s="191">
        <v>0</v>
      </c>
      <c r="I212" s="191"/>
      <c r="J212" s="191"/>
      <c r="K212" s="186"/>
      <c r="L212" s="193">
        <f>G212-95</f>
        <v>-95</v>
      </c>
    </row>
    <row r="213" spans="1:12" s="188" customFormat="1" ht="51" hidden="1">
      <c r="A213" s="195" t="s">
        <v>81</v>
      </c>
      <c r="B213" s="183" t="s">
        <v>194</v>
      </c>
      <c r="C213" s="183" t="s">
        <v>82</v>
      </c>
      <c r="D213" s="184">
        <f>D214+D220</f>
        <v>729230.408</v>
      </c>
      <c r="E213" s="184">
        <f>E214+E220</f>
        <v>649069.435</v>
      </c>
      <c r="F213" s="184">
        <f>F214+F220</f>
        <v>0</v>
      </c>
      <c r="G213" s="185">
        <f t="shared" si="54"/>
        <v>0</v>
      </c>
      <c r="H213" s="185">
        <f t="shared" si="49"/>
        <v>0</v>
      </c>
      <c r="I213" s="185"/>
      <c r="J213" s="185"/>
      <c r="K213" s="186"/>
      <c r="L213" s="187" t="s">
        <v>77</v>
      </c>
    </row>
    <row r="214" spans="1:12" s="194" customFormat="1" ht="34.5" customHeight="1" hidden="1">
      <c r="A214" s="200"/>
      <c r="B214" s="216"/>
      <c r="C214" s="202" t="s">
        <v>39</v>
      </c>
      <c r="D214" s="190">
        <v>521243.108</v>
      </c>
      <c r="E214" s="190">
        <v>475669.435</v>
      </c>
      <c r="F214" s="190">
        <v>0</v>
      </c>
      <c r="G214" s="191">
        <f t="shared" si="54"/>
        <v>0</v>
      </c>
      <c r="H214" s="191">
        <f t="shared" si="49"/>
        <v>0</v>
      </c>
      <c r="I214" s="191">
        <v>0</v>
      </c>
      <c r="J214" s="191">
        <f aca="true" t="shared" si="55" ref="J214:J219">I214-D214</f>
        <v>-521243.108</v>
      </c>
      <c r="K214" s="192">
        <f aca="true" t="shared" si="56" ref="K214:K219">I214/D214</f>
        <v>0</v>
      </c>
      <c r="L214" s="193">
        <f>G214-95</f>
        <v>-95</v>
      </c>
    </row>
    <row r="215" spans="1:12" s="194" customFormat="1" ht="25.5" hidden="1">
      <c r="A215" s="195" t="s">
        <v>81</v>
      </c>
      <c r="B215" s="196"/>
      <c r="C215" s="202" t="s">
        <v>105</v>
      </c>
      <c r="D215" s="190">
        <v>0</v>
      </c>
      <c r="E215" s="190">
        <v>0</v>
      </c>
      <c r="F215" s="190">
        <v>0</v>
      </c>
      <c r="G215" s="185" t="e">
        <f t="shared" si="54"/>
        <v>#DIV/0!</v>
      </c>
      <c r="H215" s="185" t="e">
        <f t="shared" si="49"/>
        <v>#DIV/0!</v>
      </c>
      <c r="I215" s="191">
        <v>0</v>
      </c>
      <c r="J215" s="191">
        <f t="shared" si="55"/>
        <v>0</v>
      </c>
      <c r="K215" s="186" t="e">
        <f t="shared" si="56"/>
        <v>#DIV/0!</v>
      </c>
      <c r="L215" s="219"/>
    </row>
    <row r="216" spans="1:12" s="188" customFormat="1" ht="51" hidden="1">
      <c r="A216" s="195" t="s">
        <v>81</v>
      </c>
      <c r="B216" s="196"/>
      <c r="C216" s="202" t="s">
        <v>166</v>
      </c>
      <c r="D216" s="190">
        <v>0</v>
      </c>
      <c r="E216" s="190">
        <v>0</v>
      </c>
      <c r="F216" s="190">
        <v>0</v>
      </c>
      <c r="G216" s="185" t="e">
        <f t="shared" si="54"/>
        <v>#DIV/0!</v>
      </c>
      <c r="H216" s="185" t="e">
        <f>F216/D216*100</f>
        <v>#DIV/0!</v>
      </c>
      <c r="I216" s="191">
        <v>0</v>
      </c>
      <c r="J216" s="191">
        <f t="shared" si="55"/>
        <v>0</v>
      </c>
      <c r="K216" s="186" t="e">
        <f t="shared" si="56"/>
        <v>#DIV/0!</v>
      </c>
      <c r="L216" s="193"/>
    </row>
    <row r="217" spans="1:12" s="188" customFormat="1" ht="51" hidden="1">
      <c r="A217" s="195" t="s">
        <v>81</v>
      </c>
      <c r="B217" s="196"/>
      <c r="C217" s="202" t="s">
        <v>151</v>
      </c>
      <c r="D217" s="190">
        <v>0</v>
      </c>
      <c r="E217" s="190">
        <v>0</v>
      </c>
      <c r="F217" s="190">
        <v>0</v>
      </c>
      <c r="G217" s="185" t="e">
        <f t="shared" si="54"/>
        <v>#DIV/0!</v>
      </c>
      <c r="H217" s="185" t="e">
        <f t="shared" si="49"/>
        <v>#DIV/0!</v>
      </c>
      <c r="I217" s="191">
        <v>0</v>
      </c>
      <c r="J217" s="191">
        <f t="shared" si="55"/>
        <v>0</v>
      </c>
      <c r="K217" s="186" t="e">
        <f t="shared" si="56"/>
        <v>#DIV/0!</v>
      </c>
      <c r="L217" s="193"/>
    </row>
    <row r="218" spans="1:12" s="188" customFormat="1" ht="38.25" hidden="1">
      <c r="A218" s="195" t="s">
        <v>81</v>
      </c>
      <c r="B218" s="196"/>
      <c r="C218" s="202" t="s">
        <v>156</v>
      </c>
      <c r="D218" s="190">
        <v>0</v>
      </c>
      <c r="E218" s="190">
        <v>0</v>
      </c>
      <c r="F218" s="190">
        <v>0</v>
      </c>
      <c r="G218" s="185" t="e">
        <f t="shared" si="54"/>
        <v>#DIV/0!</v>
      </c>
      <c r="H218" s="185" t="e">
        <f>F218/D218*100</f>
        <v>#DIV/0!</v>
      </c>
      <c r="I218" s="191">
        <v>0</v>
      </c>
      <c r="J218" s="191">
        <f t="shared" si="55"/>
        <v>0</v>
      </c>
      <c r="K218" s="186" t="e">
        <f t="shared" si="56"/>
        <v>#DIV/0!</v>
      </c>
      <c r="L218" s="193"/>
    </row>
    <row r="219" spans="1:12" s="188" customFormat="1" ht="38.25" hidden="1">
      <c r="A219" s="195" t="s">
        <v>81</v>
      </c>
      <c r="B219" s="196"/>
      <c r="C219" s="202" t="s">
        <v>175</v>
      </c>
      <c r="D219" s="190">
        <v>0</v>
      </c>
      <c r="E219" s="190">
        <v>0</v>
      </c>
      <c r="F219" s="190">
        <v>0</v>
      </c>
      <c r="G219" s="185" t="e">
        <f t="shared" si="54"/>
        <v>#DIV/0!</v>
      </c>
      <c r="H219" s="185" t="e">
        <f>F219/D219*100</f>
        <v>#DIV/0!</v>
      </c>
      <c r="I219" s="191">
        <v>0</v>
      </c>
      <c r="J219" s="191">
        <f t="shared" si="55"/>
        <v>0</v>
      </c>
      <c r="K219" s="186" t="e">
        <f t="shared" si="56"/>
        <v>#DIV/0!</v>
      </c>
      <c r="L219" s="193"/>
    </row>
    <row r="220" spans="1:12" s="188" customFormat="1" ht="25.5" hidden="1">
      <c r="A220" s="220"/>
      <c r="B220" s="221"/>
      <c r="C220" s="202" t="s">
        <v>83</v>
      </c>
      <c r="D220" s="190">
        <v>207987.3</v>
      </c>
      <c r="E220" s="190">
        <v>173400</v>
      </c>
      <c r="F220" s="190">
        <v>0</v>
      </c>
      <c r="G220" s="191">
        <v>0</v>
      </c>
      <c r="H220" s="191">
        <f t="shared" si="49"/>
        <v>0</v>
      </c>
      <c r="I220" s="191"/>
      <c r="J220" s="191"/>
      <c r="K220" s="186"/>
      <c r="L220" s="193">
        <f>G220-95</f>
        <v>-95</v>
      </c>
    </row>
    <row r="221" spans="1:12" s="7" customFormat="1" ht="40.5" customHeight="1">
      <c r="A221" s="77" t="s">
        <v>22</v>
      </c>
      <c r="B221" s="78" t="s">
        <v>96</v>
      </c>
      <c r="C221" s="2" t="s">
        <v>54</v>
      </c>
      <c r="D221" s="113">
        <f>D222+D226</f>
        <v>2276594.912</v>
      </c>
      <c r="E221" s="113">
        <f>E222+E226</f>
        <v>1572494.412</v>
      </c>
      <c r="F221" s="113">
        <f>F222+F226</f>
        <v>1007973.429</v>
      </c>
      <c r="G221" s="66">
        <f aca="true" t="shared" si="57" ref="G221:G229">F221/E221*100</f>
        <v>64.10028686321336</v>
      </c>
      <c r="H221" s="66">
        <f t="shared" si="49"/>
        <v>44.275484570704336</v>
      </c>
      <c r="I221" s="66"/>
      <c r="J221" s="66"/>
      <c r="K221" s="67"/>
      <c r="L221" s="32" t="s">
        <v>77</v>
      </c>
    </row>
    <row r="222" spans="1:12" s="31" customFormat="1" ht="16.5" customHeight="1">
      <c r="A222" s="236"/>
      <c r="B222" s="237"/>
      <c r="C222" s="80" t="s">
        <v>39</v>
      </c>
      <c r="D222" s="107">
        <v>1171599.409</v>
      </c>
      <c r="E222" s="107">
        <v>886786.394</v>
      </c>
      <c r="F222" s="107">
        <v>552633.124</v>
      </c>
      <c r="G222" s="65">
        <f t="shared" si="57"/>
        <v>62.31862912411802</v>
      </c>
      <c r="H222" s="65">
        <f t="shared" si="49"/>
        <v>47.1691193896804</v>
      </c>
      <c r="I222" s="65">
        <f>I223+I224+I225</f>
        <v>834702.9</v>
      </c>
      <c r="J222" s="65">
        <f>I222-D222</f>
        <v>-336896.50899999996</v>
      </c>
      <c r="K222" s="84">
        <f>I222/D222</f>
        <v>0.7124473549474111</v>
      </c>
      <c r="L222" s="21">
        <f>G222-95</f>
        <v>-32.68137087588198</v>
      </c>
    </row>
    <row r="223" spans="1:12" s="128" customFormat="1" ht="26.25" customHeight="1" hidden="1">
      <c r="A223" s="1" t="s">
        <v>22</v>
      </c>
      <c r="B223" s="1"/>
      <c r="C223" s="80" t="s">
        <v>105</v>
      </c>
      <c r="D223" s="158">
        <v>12716.9</v>
      </c>
      <c r="E223" s="158">
        <v>7546.869</v>
      </c>
      <c r="F223" s="158">
        <v>7105.086</v>
      </c>
      <c r="G223" s="159">
        <f t="shared" si="57"/>
        <v>94.14614192985198</v>
      </c>
      <c r="H223" s="159">
        <f t="shared" si="49"/>
        <v>55.87121075104782</v>
      </c>
      <c r="I223" s="160">
        <v>12305</v>
      </c>
      <c r="J223" s="160">
        <f>I223-D223</f>
        <v>-411.89999999999964</v>
      </c>
      <c r="K223" s="161">
        <f>I223/D223</f>
        <v>0.967610030746487</v>
      </c>
      <c r="L223" s="162"/>
    </row>
    <row r="224" spans="1:12" s="128" customFormat="1" ht="40.5" customHeight="1" hidden="1">
      <c r="A224" s="122" t="s">
        <v>22</v>
      </c>
      <c r="B224" s="122"/>
      <c r="C224" s="126" t="s">
        <v>157</v>
      </c>
      <c r="D224" s="158">
        <v>0</v>
      </c>
      <c r="E224" s="158">
        <v>0</v>
      </c>
      <c r="F224" s="158">
        <v>0</v>
      </c>
      <c r="G224" s="159">
        <v>0</v>
      </c>
      <c r="H224" s="159">
        <v>0</v>
      </c>
      <c r="I224" s="160">
        <v>0</v>
      </c>
      <c r="J224" s="160">
        <f>I224-D224</f>
        <v>0</v>
      </c>
      <c r="K224" s="161">
        <v>0</v>
      </c>
      <c r="L224" s="162"/>
    </row>
    <row r="225" spans="1:12" s="128" customFormat="1" ht="27.75" customHeight="1" hidden="1">
      <c r="A225" s="1" t="s">
        <v>22</v>
      </c>
      <c r="B225" s="1"/>
      <c r="C225" s="80" t="s">
        <v>121</v>
      </c>
      <c r="D225" s="158">
        <v>1046203.475</v>
      </c>
      <c r="E225" s="158">
        <v>645949.829</v>
      </c>
      <c r="F225" s="158">
        <v>363615.88</v>
      </c>
      <c r="G225" s="159">
        <f t="shared" si="57"/>
        <v>56.29165976604044</v>
      </c>
      <c r="H225" s="159">
        <f t="shared" si="49"/>
        <v>34.755751504266414</v>
      </c>
      <c r="I225" s="160">
        <v>822397.9</v>
      </c>
      <c r="J225" s="160">
        <f>I225-D225</f>
        <v>-223805.57499999995</v>
      </c>
      <c r="K225" s="161">
        <f>I225/D225</f>
        <v>0.7860783486692204</v>
      </c>
      <c r="L225" s="162"/>
    </row>
    <row r="226" spans="1:12" s="7" customFormat="1" ht="27" customHeight="1">
      <c r="A226" s="250"/>
      <c r="B226" s="251"/>
      <c r="C226" s="80" t="s">
        <v>83</v>
      </c>
      <c r="D226" s="107">
        <v>1104995.503</v>
      </c>
      <c r="E226" s="107">
        <v>685708.018</v>
      </c>
      <c r="F226" s="107">
        <v>455340.305</v>
      </c>
      <c r="G226" s="65">
        <f t="shared" si="57"/>
        <v>66.40440144306436</v>
      </c>
      <c r="H226" s="65">
        <f t="shared" si="49"/>
        <v>41.2074351220233</v>
      </c>
      <c r="I226" s="65"/>
      <c r="J226" s="65"/>
      <c r="K226" s="67"/>
      <c r="L226" s="21">
        <f>G226-95</f>
        <v>-28.59559855693564</v>
      </c>
    </row>
    <row r="227" spans="1:12" s="7" customFormat="1" ht="37.5" customHeight="1">
      <c r="A227" s="81" t="s">
        <v>23</v>
      </c>
      <c r="B227" s="82" t="s">
        <v>97</v>
      </c>
      <c r="C227" s="2" t="s">
        <v>55</v>
      </c>
      <c r="D227" s="113">
        <f>D228+D231</f>
        <v>1038968.915</v>
      </c>
      <c r="E227" s="115">
        <f>E228+E231</f>
        <v>860414.6619999999</v>
      </c>
      <c r="F227" s="113">
        <f>F228+F231</f>
        <v>783435.921</v>
      </c>
      <c r="G227" s="66">
        <f t="shared" si="57"/>
        <v>91.0532973925542</v>
      </c>
      <c r="H227" s="66">
        <f t="shared" si="49"/>
        <v>75.4051357734798</v>
      </c>
      <c r="I227" s="66"/>
      <c r="J227" s="66"/>
      <c r="K227" s="67"/>
      <c r="L227" s="32" t="s">
        <v>77</v>
      </c>
    </row>
    <row r="228" spans="1:12" s="31" customFormat="1" ht="17.25" customHeight="1">
      <c r="A228" s="236"/>
      <c r="B228" s="237"/>
      <c r="C228" s="80" t="s">
        <v>39</v>
      </c>
      <c r="D228" s="107">
        <v>1027642.772</v>
      </c>
      <c r="E228" s="222">
        <f>849117.114</f>
        <v>849117.114</v>
      </c>
      <c r="F228" s="107">
        <v>772170.704</v>
      </c>
      <c r="G228" s="65">
        <f t="shared" si="57"/>
        <v>90.93806864432132</v>
      </c>
      <c r="H228" s="65">
        <f t="shared" si="49"/>
        <v>75.13999271334339</v>
      </c>
      <c r="I228" s="65">
        <f>I229+I230</f>
        <v>690213.89</v>
      </c>
      <c r="J228" s="65">
        <f>I228-D228</f>
        <v>-337428.882</v>
      </c>
      <c r="K228" s="84">
        <f>I228/D228</f>
        <v>0.6716476861474971</v>
      </c>
      <c r="L228" s="21">
        <f>G228-95</f>
        <v>-4.061931355678681</v>
      </c>
    </row>
    <row r="229" spans="1:13" s="128" customFormat="1" ht="26.25" customHeight="1" hidden="1">
      <c r="A229" s="1" t="s">
        <v>23</v>
      </c>
      <c r="B229" s="134"/>
      <c r="C229" s="80" t="s">
        <v>105</v>
      </c>
      <c r="D229" s="158">
        <v>13848.7</v>
      </c>
      <c r="E229" s="166">
        <v>8577.281</v>
      </c>
      <c r="F229" s="158">
        <v>7346.972</v>
      </c>
      <c r="G229" s="159">
        <f t="shared" si="57"/>
        <v>85.65618871528167</v>
      </c>
      <c r="H229" s="159">
        <f t="shared" si="49"/>
        <v>53.05170882465502</v>
      </c>
      <c r="I229" s="160">
        <v>13207.4</v>
      </c>
      <c r="J229" s="160">
        <f>I229-D229</f>
        <v>-641.3000000000011</v>
      </c>
      <c r="K229" s="161">
        <f>I229/D229</f>
        <v>0.9536924043412016</v>
      </c>
      <c r="L229" s="162"/>
      <c r="M229" s="16"/>
    </row>
    <row r="230" spans="1:12" s="128" customFormat="1" ht="17.25" customHeight="1" hidden="1">
      <c r="A230" s="1" t="s">
        <v>23</v>
      </c>
      <c r="B230" s="134"/>
      <c r="C230" s="80" t="s">
        <v>124</v>
      </c>
      <c r="D230" s="158">
        <v>1014887.687</v>
      </c>
      <c r="E230" s="166">
        <v>666639.966</v>
      </c>
      <c r="F230" s="158">
        <v>601474.221</v>
      </c>
      <c r="G230" s="159">
        <f aca="true" t="shared" si="58" ref="G230:G239">F230/E230*100</f>
        <v>90.22474674133174</v>
      </c>
      <c r="H230" s="159">
        <f t="shared" si="49"/>
        <v>59.265101814167544</v>
      </c>
      <c r="I230" s="160">
        <v>677006.49</v>
      </c>
      <c r="J230" s="160">
        <f>I230-D230</f>
        <v>-337881.19700000004</v>
      </c>
      <c r="K230" s="161">
        <f>I230/D230</f>
        <v>0.6670752819962038</v>
      </c>
      <c r="L230" s="162"/>
    </row>
    <row r="231" spans="1:12" s="7" customFormat="1" ht="17.25" customHeight="1">
      <c r="A231" s="250"/>
      <c r="B231" s="251"/>
      <c r="C231" s="80" t="s">
        <v>40</v>
      </c>
      <c r="D231" s="107">
        <v>11326.143</v>
      </c>
      <c r="E231" s="114">
        <v>11297.548</v>
      </c>
      <c r="F231" s="107">
        <v>11265.217</v>
      </c>
      <c r="G231" s="65">
        <f t="shared" si="58"/>
        <v>99.7138228578449</v>
      </c>
      <c r="H231" s="65">
        <f>F231/D231*100</f>
        <v>99.46207636615571</v>
      </c>
      <c r="I231" s="65"/>
      <c r="J231" s="65"/>
      <c r="K231" s="67"/>
      <c r="L231" s="21">
        <f>G231-95</f>
        <v>4.713822857844903</v>
      </c>
    </row>
    <row r="232" spans="1:12" s="7" customFormat="1" ht="66" customHeight="1">
      <c r="A232" s="70" t="s">
        <v>24</v>
      </c>
      <c r="B232" s="49" t="s">
        <v>98</v>
      </c>
      <c r="C232" s="2" t="s">
        <v>56</v>
      </c>
      <c r="D232" s="113">
        <f>D233+D236</f>
        <v>25783.612999999998</v>
      </c>
      <c r="E232" s="113">
        <f>E233+E236</f>
        <v>22250.551</v>
      </c>
      <c r="F232" s="113">
        <f>F233+F236</f>
        <v>17461.045</v>
      </c>
      <c r="G232" s="66">
        <f t="shared" si="58"/>
        <v>78.47466339148184</v>
      </c>
      <c r="H232" s="66">
        <f t="shared" si="49"/>
        <v>67.7214826331748</v>
      </c>
      <c r="I232" s="66"/>
      <c r="J232" s="66"/>
      <c r="K232" s="67"/>
      <c r="L232" s="32" t="s">
        <v>77</v>
      </c>
    </row>
    <row r="233" spans="1:12" s="31" customFormat="1" ht="18" customHeight="1">
      <c r="A233" s="29"/>
      <c r="B233" s="50"/>
      <c r="C233" s="76" t="s">
        <v>39</v>
      </c>
      <c r="D233" s="107">
        <v>22519.12</v>
      </c>
      <c r="E233" s="107">
        <v>18986.058</v>
      </c>
      <c r="F233" s="107">
        <v>16142.97</v>
      </c>
      <c r="G233" s="65">
        <f t="shared" si="58"/>
        <v>85.02539073671849</v>
      </c>
      <c r="H233" s="65">
        <f t="shared" si="49"/>
        <v>71.68561648945429</v>
      </c>
      <c r="I233" s="65">
        <f>I234+I235</f>
        <v>18025.1</v>
      </c>
      <c r="J233" s="65">
        <f>I233-D233</f>
        <v>-4494.02</v>
      </c>
      <c r="K233" s="84">
        <f>I233/D233</f>
        <v>0.8004353633712152</v>
      </c>
      <c r="L233" s="21">
        <f>G233-95</f>
        <v>-9.974609263281508</v>
      </c>
    </row>
    <row r="234" spans="1:13" s="125" customFormat="1" ht="26.25" customHeight="1" hidden="1">
      <c r="A234" s="45">
        <v>951</v>
      </c>
      <c r="B234" s="132"/>
      <c r="C234" s="76" t="s">
        <v>105</v>
      </c>
      <c r="D234" s="158">
        <v>10516.4</v>
      </c>
      <c r="E234" s="158">
        <v>6525.861</v>
      </c>
      <c r="F234" s="158">
        <v>6069.022</v>
      </c>
      <c r="G234" s="159">
        <f>F234/E234*100</f>
        <v>92.99955975157914</v>
      </c>
      <c r="H234" s="159">
        <f>F234/D234*100</f>
        <v>57.71007188771823</v>
      </c>
      <c r="I234" s="160">
        <v>10299.6</v>
      </c>
      <c r="J234" s="160">
        <f>I234-D234</f>
        <v>-216.79999999999927</v>
      </c>
      <c r="K234" s="161">
        <f>I234/D234</f>
        <v>0.9793845802746187</v>
      </c>
      <c r="L234" s="162"/>
      <c r="M234" s="7"/>
    </row>
    <row r="235" spans="1:12" s="125" customFormat="1" ht="18" customHeight="1" hidden="1">
      <c r="A235" s="45">
        <v>951</v>
      </c>
      <c r="B235" s="132"/>
      <c r="C235" s="76" t="s">
        <v>119</v>
      </c>
      <c r="D235" s="158">
        <v>12194</v>
      </c>
      <c r="E235" s="158">
        <v>9108.34</v>
      </c>
      <c r="F235" s="158">
        <v>6033.321</v>
      </c>
      <c r="G235" s="159">
        <f>F235/E235*100</f>
        <v>66.23952333795181</v>
      </c>
      <c r="H235" s="159">
        <f>F235/D235*100</f>
        <v>49.47778415614236</v>
      </c>
      <c r="I235" s="160">
        <v>7725.5</v>
      </c>
      <c r="J235" s="160">
        <f>I235-D235</f>
        <v>-4468.5</v>
      </c>
      <c r="K235" s="161">
        <f>I235/D235</f>
        <v>0.6335492865343612</v>
      </c>
      <c r="L235" s="162"/>
    </row>
    <row r="236" spans="1:12" s="7" customFormat="1" ht="27" customHeight="1">
      <c r="A236" s="47"/>
      <c r="B236" s="48"/>
      <c r="C236" s="76" t="s">
        <v>83</v>
      </c>
      <c r="D236" s="107">
        <v>3264.493</v>
      </c>
      <c r="E236" s="107">
        <v>3264.493</v>
      </c>
      <c r="F236" s="107">
        <v>1318.075</v>
      </c>
      <c r="G236" s="65">
        <f>F236/E236*100</f>
        <v>40.376101281270934</v>
      </c>
      <c r="H236" s="65">
        <f>F236/D236*100</f>
        <v>40.376101281270934</v>
      </c>
      <c r="I236" s="65"/>
      <c r="J236" s="65"/>
      <c r="K236" s="67"/>
      <c r="L236" s="21">
        <f>G236-95</f>
        <v>-54.623898718729066</v>
      </c>
    </row>
    <row r="237" spans="1:12" s="7" customFormat="1" ht="40.5" customHeight="1">
      <c r="A237" s="1" t="s">
        <v>25</v>
      </c>
      <c r="B237" s="2" t="s">
        <v>99</v>
      </c>
      <c r="C237" s="2" t="s">
        <v>57</v>
      </c>
      <c r="D237" s="113">
        <f>D238+D246</f>
        <v>1201003.15</v>
      </c>
      <c r="E237" s="113">
        <f>E238+E246</f>
        <v>1061236.052</v>
      </c>
      <c r="F237" s="113">
        <f>F238+F246</f>
        <v>1035171.778</v>
      </c>
      <c r="G237" s="66">
        <f t="shared" si="58"/>
        <v>97.54397017036132</v>
      </c>
      <c r="H237" s="66">
        <f t="shared" si="49"/>
        <v>86.19226169390149</v>
      </c>
      <c r="I237" s="66"/>
      <c r="J237" s="66"/>
      <c r="K237" s="67"/>
      <c r="L237" s="32" t="s">
        <v>77</v>
      </c>
    </row>
    <row r="238" spans="1:12" s="31" customFormat="1" ht="17.25" customHeight="1">
      <c r="A238" s="29"/>
      <c r="B238" s="30"/>
      <c r="C238" s="76" t="s">
        <v>39</v>
      </c>
      <c r="D238" s="107">
        <v>1106739.69</v>
      </c>
      <c r="E238" s="107">
        <v>967130.12</v>
      </c>
      <c r="F238" s="107">
        <v>945649.687</v>
      </c>
      <c r="G238" s="65">
        <f t="shared" si="58"/>
        <v>97.77895108881522</v>
      </c>
      <c r="H238" s="65">
        <f t="shared" si="49"/>
        <v>85.44463486260261</v>
      </c>
      <c r="I238" s="65">
        <f>I239+I240+I241+I242+I243+I244+I245</f>
        <v>1047070.2</v>
      </c>
      <c r="J238" s="65">
        <f aca="true" t="shared" si="59" ref="J238:J245">I238-D238</f>
        <v>-59669.48999999999</v>
      </c>
      <c r="K238" s="84">
        <f aca="true" t="shared" si="60" ref="K238:K245">I238/D238</f>
        <v>0.9460853436999264</v>
      </c>
      <c r="L238" s="21">
        <f>G238-95</f>
        <v>2.7789510888152194</v>
      </c>
    </row>
    <row r="239" spans="1:13" s="128" customFormat="1" ht="26.25" customHeight="1" hidden="1">
      <c r="A239" s="1" t="s">
        <v>25</v>
      </c>
      <c r="B239" s="134"/>
      <c r="C239" s="76" t="s">
        <v>105</v>
      </c>
      <c r="D239" s="163">
        <v>14971.1</v>
      </c>
      <c r="E239" s="163">
        <v>9561.754</v>
      </c>
      <c r="F239" s="163">
        <v>9120.311</v>
      </c>
      <c r="G239" s="159">
        <f t="shared" si="58"/>
        <v>95.38324244694016</v>
      </c>
      <c r="H239" s="159">
        <f t="shared" si="49"/>
        <v>60.9194447969755</v>
      </c>
      <c r="I239" s="163">
        <v>14589.7</v>
      </c>
      <c r="J239" s="160">
        <f t="shared" si="59"/>
        <v>-381.39999999999964</v>
      </c>
      <c r="K239" s="161">
        <f t="shared" si="60"/>
        <v>0.9745242500551062</v>
      </c>
      <c r="L239" s="162"/>
      <c r="M239" s="7"/>
    </row>
    <row r="240" spans="1:13" s="128" customFormat="1" ht="51.75" customHeight="1" hidden="1">
      <c r="A240" s="1" t="s">
        <v>25</v>
      </c>
      <c r="B240" s="134"/>
      <c r="C240" s="76" t="s">
        <v>111</v>
      </c>
      <c r="D240" s="163">
        <v>33848.3</v>
      </c>
      <c r="E240" s="163">
        <v>23817.017</v>
      </c>
      <c r="F240" s="163">
        <v>23337.89</v>
      </c>
      <c r="G240" s="159">
        <f aca="true" t="shared" si="61" ref="G240:G245">F240/E240*100</f>
        <v>97.98829971024499</v>
      </c>
      <c r="H240" s="159">
        <f aca="true" t="shared" si="62" ref="H240:H245">F240/D240*100</f>
        <v>68.94848485743744</v>
      </c>
      <c r="I240" s="163">
        <v>33848.3</v>
      </c>
      <c r="J240" s="160">
        <f t="shared" si="59"/>
        <v>0</v>
      </c>
      <c r="K240" s="161">
        <f t="shared" si="60"/>
        <v>1</v>
      </c>
      <c r="L240" s="162"/>
      <c r="M240" s="125"/>
    </row>
    <row r="241" spans="1:13" s="128" customFormat="1" ht="27" customHeight="1" hidden="1">
      <c r="A241" s="1" t="s">
        <v>25</v>
      </c>
      <c r="B241" s="134"/>
      <c r="C241" s="76" t="s">
        <v>113</v>
      </c>
      <c r="D241" s="163">
        <v>39073.7</v>
      </c>
      <c r="E241" s="163">
        <v>25793.734</v>
      </c>
      <c r="F241" s="163">
        <v>23252.536</v>
      </c>
      <c r="G241" s="159">
        <f t="shared" si="61"/>
        <v>90.14800261179711</v>
      </c>
      <c r="H241" s="159">
        <f t="shared" si="62"/>
        <v>59.509429616340405</v>
      </c>
      <c r="I241" s="163">
        <v>29799.805</v>
      </c>
      <c r="J241" s="160">
        <f t="shared" si="59"/>
        <v>-9273.894999999997</v>
      </c>
      <c r="K241" s="161">
        <f t="shared" si="60"/>
        <v>0.762656339174432</v>
      </c>
      <c r="L241" s="162"/>
      <c r="M241" s="125"/>
    </row>
    <row r="242" spans="1:13" s="128" customFormat="1" ht="41.25" customHeight="1" hidden="1">
      <c r="A242" s="1" t="s">
        <v>25</v>
      </c>
      <c r="B242" s="134"/>
      <c r="C242" s="76" t="s">
        <v>117</v>
      </c>
      <c r="D242" s="163">
        <v>2789.2</v>
      </c>
      <c r="E242" s="163">
        <v>1321.53</v>
      </c>
      <c r="F242" s="163">
        <v>1321.394</v>
      </c>
      <c r="G242" s="159">
        <f t="shared" si="61"/>
        <v>99.98970889801973</v>
      </c>
      <c r="H242" s="159">
        <f t="shared" si="62"/>
        <v>47.37537645202926</v>
      </c>
      <c r="I242" s="163">
        <v>2789.2</v>
      </c>
      <c r="J242" s="160">
        <f t="shared" si="59"/>
        <v>0</v>
      </c>
      <c r="K242" s="161">
        <f t="shared" si="60"/>
        <v>1</v>
      </c>
      <c r="L242" s="162"/>
      <c r="M242" s="125"/>
    </row>
    <row r="243" spans="1:13" s="128" customFormat="1" ht="41.25" customHeight="1" hidden="1">
      <c r="A243" s="1" t="s">
        <v>25</v>
      </c>
      <c r="B243" s="134"/>
      <c r="C243" s="76" t="s">
        <v>161</v>
      </c>
      <c r="D243" s="163">
        <v>936997.7</v>
      </c>
      <c r="E243" s="163">
        <v>659439.16</v>
      </c>
      <c r="F243" s="163">
        <v>659174.2</v>
      </c>
      <c r="G243" s="164">
        <f t="shared" si="61"/>
        <v>99.9598204025372</v>
      </c>
      <c r="H243" s="159">
        <f t="shared" si="62"/>
        <v>70.34960704812829</v>
      </c>
      <c r="I243" s="163">
        <v>936997.7</v>
      </c>
      <c r="J243" s="160">
        <f t="shared" si="59"/>
        <v>0</v>
      </c>
      <c r="K243" s="161">
        <f t="shared" si="60"/>
        <v>1</v>
      </c>
      <c r="L243" s="162"/>
      <c r="M243" s="125"/>
    </row>
    <row r="244" spans="1:13" s="128" customFormat="1" ht="38.25" customHeight="1" hidden="1">
      <c r="A244" s="1" t="s">
        <v>25</v>
      </c>
      <c r="B244" s="134"/>
      <c r="C244" s="76" t="s">
        <v>160</v>
      </c>
      <c r="D244" s="163">
        <v>22397.3</v>
      </c>
      <c r="E244" s="163">
        <v>12600.5</v>
      </c>
      <c r="F244" s="163">
        <v>6790.835</v>
      </c>
      <c r="G244" s="159">
        <f t="shared" si="61"/>
        <v>53.89337724693465</v>
      </c>
      <c r="H244" s="159">
        <f t="shared" si="62"/>
        <v>30.31988230724239</v>
      </c>
      <c r="I244" s="163">
        <v>6790.835</v>
      </c>
      <c r="J244" s="160">
        <f t="shared" si="59"/>
        <v>-15606.465</v>
      </c>
      <c r="K244" s="161">
        <f t="shared" si="60"/>
        <v>0.3031988230724239</v>
      </c>
      <c r="L244" s="162"/>
      <c r="M244" s="125"/>
    </row>
    <row r="245" spans="1:13" s="128" customFormat="1" ht="40.5" customHeight="1" hidden="1">
      <c r="A245" s="1" t="s">
        <v>25</v>
      </c>
      <c r="B245" s="134"/>
      <c r="C245" s="76" t="s">
        <v>179</v>
      </c>
      <c r="D245" s="163">
        <v>52982.1</v>
      </c>
      <c r="E245" s="163">
        <v>23703.9</v>
      </c>
      <c r="F245" s="163">
        <v>22254.66</v>
      </c>
      <c r="G245" s="159">
        <f t="shared" si="61"/>
        <v>93.88606938098793</v>
      </c>
      <c r="H245" s="159">
        <f t="shared" si="62"/>
        <v>42.00411082233433</v>
      </c>
      <c r="I245" s="163">
        <v>22254.66</v>
      </c>
      <c r="J245" s="160">
        <f t="shared" si="59"/>
        <v>-30727.44</v>
      </c>
      <c r="K245" s="161">
        <f t="shared" si="60"/>
        <v>0.42004110822334334</v>
      </c>
      <c r="L245" s="162"/>
      <c r="M245" s="125"/>
    </row>
    <row r="246" spans="1:12" s="7" customFormat="1" ht="18" customHeight="1">
      <c r="A246" s="47"/>
      <c r="B246" s="48"/>
      <c r="C246" s="76" t="s">
        <v>40</v>
      </c>
      <c r="D246" s="107">
        <v>94263.46</v>
      </c>
      <c r="E246" s="107">
        <v>94105.932</v>
      </c>
      <c r="F246" s="107">
        <v>89522.091</v>
      </c>
      <c r="G246" s="65">
        <f aca="true" t="shared" si="63" ref="G246:G254">F246/E246*100</f>
        <v>95.12906263974943</v>
      </c>
      <c r="H246" s="65">
        <f t="shared" si="49"/>
        <v>94.9700880913983</v>
      </c>
      <c r="I246" s="65"/>
      <c r="J246" s="65"/>
      <c r="K246" s="67"/>
      <c r="L246" s="21">
        <f>G246-95</f>
        <v>0.129062639749435</v>
      </c>
    </row>
    <row r="247" spans="1:12" s="7" customFormat="1" ht="40.5" customHeight="1">
      <c r="A247" s="77" t="s">
        <v>26</v>
      </c>
      <c r="B247" s="78" t="s">
        <v>100</v>
      </c>
      <c r="C247" s="2" t="s">
        <v>58</v>
      </c>
      <c r="D247" s="113">
        <f>D248+D255</f>
        <v>125360.757</v>
      </c>
      <c r="E247" s="113">
        <f>E248+E255</f>
        <v>102616.901</v>
      </c>
      <c r="F247" s="113">
        <f>F248+F255</f>
        <v>93184.325</v>
      </c>
      <c r="G247" s="66">
        <f t="shared" si="63"/>
        <v>90.80797031670251</v>
      </c>
      <c r="H247" s="66">
        <f t="shared" si="49"/>
        <v>74.3329309984942</v>
      </c>
      <c r="I247" s="66"/>
      <c r="J247" s="66"/>
      <c r="K247" s="67"/>
      <c r="L247" s="32" t="s">
        <v>77</v>
      </c>
    </row>
    <row r="248" spans="1:12" s="31" customFormat="1" ht="17.25" customHeight="1">
      <c r="A248" s="236"/>
      <c r="B248" s="237"/>
      <c r="C248" s="80" t="s">
        <v>39</v>
      </c>
      <c r="D248" s="107">
        <v>124758.357</v>
      </c>
      <c r="E248" s="107">
        <v>102616.901</v>
      </c>
      <c r="F248" s="107">
        <v>93184.325</v>
      </c>
      <c r="G248" s="65">
        <f t="shared" si="63"/>
        <v>90.80797031670251</v>
      </c>
      <c r="H248" s="65">
        <f t="shared" si="49"/>
        <v>74.69185010187334</v>
      </c>
      <c r="I248" s="65">
        <f>SUM(I249:I254)</f>
        <v>109831.4</v>
      </c>
      <c r="J248" s="65">
        <f aca="true" t="shared" si="64" ref="J248:J254">I248-D248</f>
        <v>-14926.95700000001</v>
      </c>
      <c r="K248" s="84">
        <f aca="true" t="shared" si="65" ref="K248:K254">I248/D248</f>
        <v>0.8803530492149716</v>
      </c>
      <c r="L248" s="21">
        <f>G248-95</f>
        <v>-4.192029683297491</v>
      </c>
    </row>
    <row r="249" spans="1:13" s="128" customFormat="1" ht="26.25" customHeight="1" hidden="1">
      <c r="A249" s="1" t="s">
        <v>26</v>
      </c>
      <c r="B249" s="134"/>
      <c r="C249" s="80" t="s">
        <v>105</v>
      </c>
      <c r="D249" s="158">
        <v>8807.9</v>
      </c>
      <c r="E249" s="158">
        <v>6042.633</v>
      </c>
      <c r="F249" s="158">
        <v>5242.518</v>
      </c>
      <c r="G249" s="159">
        <f t="shared" si="63"/>
        <v>86.75883509721672</v>
      </c>
      <c r="H249" s="159">
        <f t="shared" si="49"/>
        <v>59.52063488459224</v>
      </c>
      <c r="I249" s="160">
        <v>8512</v>
      </c>
      <c r="J249" s="160">
        <f t="shared" si="64"/>
        <v>-295.89999999999964</v>
      </c>
      <c r="K249" s="161">
        <f t="shared" si="65"/>
        <v>0.9664051590049842</v>
      </c>
      <c r="L249" s="162"/>
      <c r="M249" s="16"/>
    </row>
    <row r="250" spans="1:12" s="128" customFormat="1" ht="53.25" customHeight="1" hidden="1">
      <c r="A250" s="1" t="s">
        <v>26</v>
      </c>
      <c r="B250" s="134"/>
      <c r="C250" s="80" t="s">
        <v>167</v>
      </c>
      <c r="D250" s="158">
        <f>4090.73+2831.1+30693.919+64258.3+7777.571+1994.9</f>
        <v>111646.51999999999</v>
      </c>
      <c r="E250" s="158">
        <f>3434.83+2123.325+21563.749+40065.85+3212.551+916.23</f>
        <v>71316.535</v>
      </c>
      <c r="F250" s="158">
        <f>3395.925+334.738+20693.264+38180.566+2392.189+558.361</f>
        <v>65555.043</v>
      </c>
      <c r="G250" s="159">
        <f t="shared" si="63"/>
        <v>91.92123958349912</v>
      </c>
      <c r="H250" s="159">
        <f>F250/D250*100</f>
        <v>58.71660218339094</v>
      </c>
      <c r="I250" s="160">
        <v>98524</v>
      </c>
      <c r="J250" s="160">
        <f t="shared" si="64"/>
        <v>-13122.51999999999</v>
      </c>
      <c r="K250" s="161">
        <f t="shared" si="65"/>
        <v>0.8824636898669121</v>
      </c>
      <c r="L250" s="162"/>
    </row>
    <row r="251" spans="1:12" s="94" customFormat="1" ht="39.75" customHeight="1" hidden="1">
      <c r="A251" s="89" t="s">
        <v>26</v>
      </c>
      <c r="B251" s="90"/>
      <c r="C251" s="93" t="s">
        <v>147</v>
      </c>
      <c r="D251" s="158"/>
      <c r="E251" s="158"/>
      <c r="F251" s="158"/>
      <c r="G251" s="159" t="e">
        <f t="shared" si="63"/>
        <v>#DIV/0!</v>
      </c>
      <c r="H251" s="159" t="e">
        <f>F251/D251*100</f>
        <v>#DIV/0!</v>
      </c>
      <c r="I251" s="160"/>
      <c r="J251" s="160">
        <f t="shared" si="64"/>
        <v>0</v>
      </c>
      <c r="K251" s="161" t="e">
        <f t="shared" si="65"/>
        <v>#DIV/0!</v>
      </c>
      <c r="L251" s="162"/>
    </row>
    <row r="252" spans="1:12" s="94" customFormat="1" ht="27.75" customHeight="1" hidden="1">
      <c r="A252" s="89" t="s">
        <v>26</v>
      </c>
      <c r="B252" s="90"/>
      <c r="C252" s="93" t="s">
        <v>145</v>
      </c>
      <c r="D252" s="158"/>
      <c r="E252" s="158"/>
      <c r="F252" s="158"/>
      <c r="G252" s="159" t="e">
        <f>F252/E252*100</f>
        <v>#DIV/0!</v>
      </c>
      <c r="H252" s="159" t="e">
        <f>F252/D252*100</f>
        <v>#DIV/0!</v>
      </c>
      <c r="I252" s="160"/>
      <c r="J252" s="160">
        <f>I252-D252</f>
        <v>0</v>
      </c>
      <c r="K252" s="161" t="e">
        <f>I252/D252</f>
        <v>#DIV/0!</v>
      </c>
      <c r="L252" s="162"/>
    </row>
    <row r="253" spans="1:12" s="94" customFormat="1" ht="39.75" customHeight="1" hidden="1">
      <c r="A253" s="89" t="s">
        <v>26</v>
      </c>
      <c r="B253" s="90"/>
      <c r="C253" s="91" t="s">
        <v>146</v>
      </c>
      <c r="D253" s="158"/>
      <c r="E253" s="158"/>
      <c r="F253" s="158"/>
      <c r="G253" s="159" t="e">
        <f>F253/E253*100</f>
        <v>#DIV/0!</v>
      </c>
      <c r="H253" s="159" t="e">
        <f>F253/D253*100</f>
        <v>#DIV/0!</v>
      </c>
      <c r="I253" s="160"/>
      <c r="J253" s="160">
        <f>I253-D253</f>
        <v>0</v>
      </c>
      <c r="K253" s="161" t="e">
        <f>I253/D253</f>
        <v>#DIV/0!</v>
      </c>
      <c r="L253" s="162"/>
    </row>
    <row r="254" spans="1:12" s="128" customFormat="1" ht="27" customHeight="1" hidden="1">
      <c r="A254" s="1" t="s">
        <v>26</v>
      </c>
      <c r="B254" s="134"/>
      <c r="C254" s="80" t="s">
        <v>123</v>
      </c>
      <c r="D254" s="158">
        <v>2795.435</v>
      </c>
      <c r="E254" s="158">
        <v>1847.235</v>
      </c>
      <c r="F254" s="158">
        <v>1260.692</v>
      </c>
      <c r="G254" s="159">
        <f t="shared" si="63"/>
        <v>68.24751588184503</v>
      </c>
      <c r="H254" s="159">
        <f>F254/D254*100</f>
        <v>45.09824052428334</v>
      </c>
      <c r="I254" s="160">
        <v>2795.4</v>
      </c>
      <c r="J254" s="160">
        <f t="shared" si="64"/>
        <v>-0.03499999999985448</v>
      </c>
      <c r="K254" s="161">
        <f t="shared" si="65"/>
        <v>0.9999874795872558</v>
      </c>
      <c r="L254" s="162"/>
    </row>
    <row r="255" spans="1:12" s="7" customFormat="1" ht="17.25" customHeight="1">
      <c r="A255" s="250"/>
      <c r="B255" s="251"/>
      <c r="C255" s="80" t="s">
        <v>40</v>
      </c>
      <c r="D255" s="107">
        <v>602.4</v>
      </c>
      <c r="E255" s="107">
        <v>0</v>
      </c>
      <c r="F255" s="107">
        <v>0</v>
      </c>
      <c r="G255" s="65">
        <v>0</v>
      </c>
      <c r="H255" s="65">
        <f t="shared" si="49"/>
        <v>0</v>
      </c>
      <c r="I255" s="65"/>
      <c r="J255" s="65"/>
      <c r="K255" s="67"/>
      <c r="L255" s="21">
        <f>G255-95</f>
        <v>-95</v>
      </c>
    </row>
    <row r="256" spans="1:12" s="7" customFormat="1" ht="40.5" customHeight="1">
      <c r="A256" s="70" t="s">
        <v>27</v>
      </c>
      <c r="B256" s="49" t="s">
        <v>101</v>
      </c>
      <c r="C256" s="2" t="s">
        <v>59</v>
      </c>
      <c r="D256" s="113">
        <f>D257</f>
        <v>20309.048</v>
      </c>
      <c r="E256" s="113">
        <f>E257</f>
        <v>16712.58</v>
      </c>
      <c r="F256" s="113">
        <f>F257</f>
        <v>14053.697</v>
      </c>
      <c r="G256" s="66">
        <f>F256/E256*100</f>
        <v>84.09052940958247</v>
      </c>
      <c r="H256" s="66">
        <f t="shared" si="49"/>
        <v>69.19919141458527</v>
      </c>
      <c r="I256" s="66"/>
      <c r="J256" s="66"/>
      <c r="K256" s="67"/>
      <c r="L256" s="32" t="s">
        <v>77</v>
      </c>
    </row>
    <row r="257" spans="1:12" s="31" customFormat="1" ht="17.25" customHeight="1">
      <c r="A257" s="29"/>
      <c r="B257" s="30"/>
      <c r="C257" s="76" t="s">
        <v>90</v>
      </c>
      <c r="D257" s="107">
        <v>20309.048</v>
      </c>
      <c r="E257" s="107">
        <v>16712.58</v>
      </c>
      <c r="F257" s="107">
        <v>14053.697</v>
      </c>
      <c r="G257" s="65">
        <f>F257/E257*100</f>
        <v>84.09052940958247</v>
      </c>
      <c r="H257" s="65">
        <f t="shared" si="49"/>
        <v>69.19919141458527</v>
      </c>
      <c r="I257" s="65">
        <f>I258+I259+I260</f>
        <v>17737.7</v>
      </c>
      <c r="J257" s="65">
        <f>I257-D257</f>
        <v>-2571.347999999998</v>
      </c>
      <c r="K257" s="84">
        <f>I257/D257</f>
        <v>0.8733890431496347</v>
      </c>
      <c r="L257" s="21">
        <f>G257-95</f>
        <v>-10.909470590417527</v>
      </c>
    </row>
    <row r="258" spans="1:14" s="128" customFormat="1" ht="26.25" customHeight="1" hidden="1">
      <c r="A258" s="45">
        <v>965</v>
      </c>
      <c r="B258" s="132"/>
      <c r="C258" s="76" t="s">
        <v>105</v>
      </c>
      <c r="D258" s="158">
        <v>10364.3</v>
      </c>
      <c r="E258" s="158">
        <v>6469.842</v>
      </c>
      <c r="F258" s="158">
        <v>6351.682</v>
      </c>
      <c r="G258" s="159">
        <f>F258/E258*100</f>
        <v>98.17368028461901</v>
      </c>
      <c r="H258" s="159">
        <f t="shared" si="49"/>
        <v>61.28423530773907</v>
      </c>
      <c r="I258" s="160">
        <v>9968.6</v>
      </c>
      <c r="J258" s="160">
        <f>I258-D258</f>
        <v>-395.6999999999989</v>
      </c>
      <c r="K258" s="161">
        <f>I258/D258</f>
        <v>0.9618208658568356</v>
      </c>
      <c r="L258" s="162"/>
      <c r="M258" s="16"/>
      <c r="N258" s="16"/>
    </row>
    <row r="259" spans="1:12" s="128" customFormat="1" ht="54" customHeight="1" hidden="1">
      <c r="A259" s="45">
        <v>965</v>
      </c>
      <c r="B259" s="132"/>
      <c r="C259" s="76" t="s">
        <v>168</v>
      </c>
      <c r="D259" s="158">
        <f>3790.9+4238.548</f>
        <v>8029.448</v>
      </c>
      <c r="E259" s="158">
        <f>2025.5+1989.409</f>
        <v>4014.909</v>
      </c>
      <c r="F259" s="158">
        <v>1955.012</v>
      </c>
      <c r="G259" s="159">
        <f>F259/E259*100</f>
        <v>48.69380601154347</v>
      </c>
      <c r="H259" s="159">
        <f t="shared" si="49"/>
        <v>24.34802492026849</v>
      </c>
      <c r="I259" s="160">
        <v>7353.8</v>
      </c>
      <c r="J259" s="160">
        <f>I259-D259</f>
        <v>-675.6480000000001</v>
      </c>
      <c r="K259" s="161">
        <f>I259/D259</f>
        <v>0.9158537423743202</v>
      </c>
      <c r="L259" s="162"/>
    </row>
    <row r="260" spans="1:12" s="128" customFormat="1" ht="27" customHeight="1" hidden="1">
      <c r="A260" s="45">
        <v>965</v>
      </c>
      <c r="B260" s="132"/>
      <c r="C260" s="76" t="s">
        <v>172</v>
      </c>
      <c r="D260" s="158">
        <v>1162.7</v>
      </c>
      <c r="E260" s="158">
        <v>363.8</v>
      </c>
      <c r="F260" s="158">
        <v>339.752</v>
      </c>
      <c r="G260" s="159">
        <f>F260/E260*100</f>
        <v>93.38977460142935</v>
      </c>
      <c r="H260" s="159">
        <f t="shared" si="49"/>
        <v>29.220951234196267</v>
      </c>
      <c r="I260" s="160">
        <v>415.3</v>
      </c>
      <c r="J260" s="160">
        <f>I260-D260</f>
        <v>-747.4000000000001</v>
      </c>
      <c r="K260" s="161">
        <f>I260/D260</f>
        <v>0.35718586049711876</v>
      </c>
      <c r="L260" s="162"/>
    </row>
    <row r="261" spans="1:12" s="7" customFormat="1" ht="27" customHeight="1">
      <c r="A261" s="77" t="s">
        <v>28</v>
      </c>
      <c r="B261" s="78" t="s">
        <v>29</v>
      </c>
      <c r="C261" s="2" t="s">
        <v>60</v>
      </c>
      <c r="D261" s="113">
        <f>D262+D274+D275</f>
        <v>502610.024</v>
      </c>
      <c r="E261" s="113">
        <f>E262+E274+E275</f>
        <v>361989.114</v>
      </c>
      <c r="F261" s="113">
        <f>F262+F274+F275</f>
        <v>342702.39</v>
      </c>
      <c r="G261" s="66">
        <f aca="true" t="shared" si="66" ref="G261:G304">F261/E261*100</f>
        <v>94.67201546839887</v>
      </c>
      <c r="H261" s="66">
        <f t="shared" si="49"/>
        <v>68.18455136899539</v>
      </c>
      <c r="I261" s="66"/>
      <c r="J261" s="66"/>
      <c r="K261" s="67"/>
      <c r="L261" s="32" t="s">
        <v>77</v>
      </c>
    </row>
    <row r="262" spans="1:12" s="31" customFormat="1" ht="16.5" customHeight="1">
      <c r="A262" s="236"/>
      <c r="B262" s="237"/>
      <c r="C262" s="80" t="s">
        <v>39</v>
      </c>
      <c r="D262" s="107">
        <v>500083.424</v>
      </c>
      <c r="E262" s="107">
        <v>360488.699</v>
      </c>
      <c r="F262" s="107">
        <v>341327.659</v>
      </c>
      <c r="G262" s="65">
        <f t="shared" si="66"/>
        <v>94.68470438791758</v>
      </c>
      <c r="H262" s="65">
        <f t="shared" si="49"/>
        <v>68.25414373262649</v>
      </c>
      <c r="I262" s="65">
        <f>I263+I264+I265+I266+I267+I268+I271+I269+I270+I272+I273</f>
        <v>452463.16099999996</v>
      </c>
      <c r="J262" s="65">
        <f aca="true" t="shared" si="67" ref="J262:J273">I262-D262</f>
        <v>-47620.263000000035</v>
      </c>
      <c r="K262" s="84">
        <f aca="true" t="shared" si="68" ref="K262:K273">I262/D262</f>
        <v>0.9047753620403942</v>
      </c>
      <c r="L262" s="21">
        <f>G262-95</f>
        <v>-0.31529561208242285</v>
      </c>
    </row>
    <row r="263" spans="1:12" s="128" customFormat="1" ht="26.25" customHeight="1" hidden="1">
      <c r="A263" s="1" t="s">
        <v>28</v>
      </c>
      <c r="B263" s="134"/>
      <c r="C263" s="80" t="s">
        <v>105</v>
      </c>
      <c r="D263" s="163">
        <v>201628.463</v>
      </c>
      <c r="E263" s="163">
        <v>118188.047</v>
      </c>
      <c r="F263" s="145">
        <v>116276.279</v>
      </c>
      <c r="G263" s="159">
        <f t="shared" si="66"/>
        <v>98.3824354082101</v>
      </c>
      <c r="H263" s="159">
        <f t="shared" si="49"/>
        <v>57.66858372570146</v>
      </c>
      <c r="I263" s="163">
        <v>193397.7</v>
      </c>
      <c r="J263" s="160">
        <f t="shared" si="67"/>
        <v>-8230.762999999977</v>
      </c>
      <c r="K263" s="161">
        <f t="shared" si="68"/>
        <v>0.9591785659745867</v>
      </c>
      <c r="L263" s="162"/>
    </row>
    <row r="264" spans="1:12" s="128" customFormat="1" ht="52.5" customHeight="1" hidden="1">
      <c r="A264" s="1" t="s">
        <v>28</v>
      </c>
      <c r="B264" s="134"/>
      <c r="C264" s="80" t="s">
        <v>141</v>
      </c>
      <c r="D264" s="163">
        <v>8425.1</v>
      </c>
      <c r="E264" s="163">
        <v>5592.978</v>
      </c>
      <c r="F264" s="163">
        <v>5592.978</v>
      </c>
      <c r="G264" s="159">
        <f aca="true" t="shared" si="69" ref="G264:G272">F264/E264*100</f>
        <v>100</v>
      </c>
      <c r="H264" s="159">
        <f aca="true" t="shared" si="70" ref="H264:H272">F264/D264*100</f>
        <v>66.38470759990979</v>
      </c>
      <c r="I264" s="163">
        <v>8425.1</v>
      </c>
      <c r="J264" s="160">
        <f t="shared" si="67"/>
        <v>0</v>
      </c>
      <c r="K264" s="161">
        <f t="shared" si="68"/>
        <v>1</v>
      </c>
      <c r="L264" s="162"/>
    </row>
    <row r="265" spans="1:13" s="128" customFormat="1" ht="27.75" customHeight="1" hidden="1">
      <c r="A265" s="1" t="s">
        <v>28</v>
      </c>
      <c r="B265" s="134"/>
      <c r="C265" s="80" t="s">
        <v>142</v>
      </c>
      <c r="D265" s="163">
        <v>115648.103</v>
      </c>
      <c r="E265" s="163">
        <v>71709.584</v>
      </c>
      <c r="F265" s="145">
        <v>67038.963</v>
      </c>
      <c r="G265" s="159">
        <f>F265/E265*100</f>
        <v>93.48675485274046</v>
      </c>
      <c r="H265" s="159">
        <f>F265/D265*100</f>
        <v>57.968061093055724</v>
      </c>
      <c r="I265" s="163">
        <v>107472.6</v>
      </c>
      <c r="J265" s="160">
        <f>I265-D265</f>
        <v>-8175.502999999997</v>
      </c>
      <c r="K265" s="161">
        <f>I265/D265</f>
        <v>0.9293070721618322</v>
      </c>
      <c r="L265" s="162"/>
      <c r="M265" s="16"/>
    </row>
    <row r="266" spans="1:12" s="128" customFormat="1" ht="39" customHeight="1" hidden="1">
      <c r="A266" s="1" t="s">
        <v>28</v>
      </c>
      <c r="B266" s="134"/>
      <c r="C266" s="80" t="s">
        <v>112</v>
      </c>
      <c r="D266" s="163">
        <v>4714.028</v>
      </c>
      <c r="E266" s="163">
        <v>4714.028</v>
      </c>
      <c r="F266" s="163">
        <v>4714.028</v>
      </c>
      <c r="G266" s="159">
        <f t="shared" si="69"/>
        <v>100</v>
      </c>
      <c r="H266" s="159">
        <f t="shared" si="70"/>
        <v>100</v>
      </c>
      <c r="I266" s="163">
        <v>4714.028</v>
      </c>
      <c r="J266" s="160">
        <f t="shared" si="67"/>
        <v>0</v>
      </c>
      <c r="K266" s="161">
        <f t="shared" si="68"/>
        <v>1</v>
      </c>
      <c r="L266" s="162"/>
    </row>
    <row r="267" spans="1:13" s="128" customFormat="1" ht="40.5" customHeight="1" hidden="1">
      <c r="A267" s="1" t="s">
        <v>28</v>
      </c>
      <c r="B267" s="134"/>
      <c r="C267" s="80" t="s">
        <v>143</v>
      </c>
      <c r="D267" s="163">
        <v>2598.8</v>
      </c>
      <c r="E267" s="163">
        <v>1558.943</v>
      </c>
      <c r="F267" s="163">
        <v>1558.943</v>
      </c>
      <c r="G267" s="159">
        <f t="shared" si="69"/>
        <v>100</v>
      </c>
      <c r="H267" s="159">
        <f t="shared" si="70"/>
        <v>59.987032476527624</v>
      </c>
      <c r="I267" s="163">
        <v>1883.1</v>
      </c>
      <c r="J267" s="160">
        <f t="shared" si="67"/>
        <v>-715.7000000000003</v>
      </c>
      <c r="K267" s="161">
        <f t="shared" si="68"/>
        <v>0.7246036632291826</v>
      </c>
      <c r="L267" s="162"/>
      <c r="M267" s="16"/>
    </row>
    <row r="268" spans="1:13" s="125" customFormat="1" ht="67.5" customHeight="1" hidden="1">
      <c r="A268" s="1" t="s">
        <v>28</v>
      </c>
      <c r="B268" s="134"/>
      <c r="C268" s="137" t="s">
        <v>144</v>
      </c>
      <c r="D268" s="163">
        <v>46917.4</v>
      </c>
      <c r="E268" s="163">
        <v>19088.35</v>
      </c>
      <c r="F268" s="145">
        <v>4938.055</v>
      </c>
      <c r="G268" s="159">
        <f t="shared" si="69"/>
        <v>25.869470121828236</v>
      </c>
      <c r="H268" s="159">
        <f t="shared" si="70"/>
        <v>10.524997122602702</v>
      </c>
      <c r="I268" s="163">
        <v>43380.7</v>
      </c>
      <c r="J268" s="160">
        <f t="shared" si="67"/>
        <v>-3536.7000000000044</v>
      </c>
      <c r="K268" s="161">
        <f t="shared" si="68"/>
        <v>0.9246185850025789</v>
      </c>
      <c r="L268" s="162"/>
      <c r="M268" s="7"/>
    </row>
    <row r="269" spans="1:12" s="125" customFormat="1" ht="67.5" customHeight="1" hidden="1">
      <c r="A269" s="1" t="s">
        <v>28</v>
      </c>
      <c r="B269" s="134"/>
      <c r="C269" s="143" t="s">
        <v>180</v>
      </c>
      <c r="D269" s="167">
        <f>5600.672+350</f>
        <v>5950.672</v>
      </c>
      <c r="E269" s="167">
        <f>2785.463+100.6</f>
        <v>2886.063</v>
      </c>
      <c r="F269" s="167">
        <f>2785.463+100.6</f>
        <v>2886.063</v>
      </c>
      <c r="G269" s="159">
        <f t="shared" si="69"/>
        <v>100</v>
      </c>
      <c r="H269" s="159">
        <f t="shared" si="70"/>
        <v>48.49978288166446</v>
      </c>
      <c r="I269" s="163">
        <v>5763.2</v>
      </c>
      <c r="J269" s="160">
        <f t="shared" si="67"/>
        <v>-187.47199999999975</v>
      </c>
      <c r="K269" s="161">
        <f t="shared" si="68"/>
        <v>0.9684956589776752</v>
      </c>
      <c r="L269" s="162"/>
    </row>
    <row r="270" spans="1:13" s="125" customFormat="1" ht="27" customHeight="1" hidden="1">
      <c r="A270" s="1" t="s">
        <v>28</v>
      </c>
      <c r="B270" s="134"/>
      <c r="C270" s="80" t="s">
        <v>162</v>
      </c>
      <c r="D270" s="163">
        <v>13524.988</v>
      </c>
      <c r="E270" s="163">
        <v>5977.907</v>
      </c>
      <c r="F270" s="163">
        <v>5977.907</v>
      </c>
      <c r="G270" s="159">
        <f t="shared" si="69"/>
        <v>100</v>
      </c>
      <c r="H270" s="159">
        <f t="shared" si="70"/>
        <v>44.19898191406899</v>
      </c>
      <c r="I270" s="163">
        <v>9268.5</v>
      </c>
      <c r="J270" s="160">
        <f t="shared" si="67"/>
        <v>-4256.487999999999</v>
      </c>
      <c r="K270" s="161">
        <f t="shared" si="68"/>
        <v>0.6852871144876432</v>
      </c>
      <c r="L270" s="162"/>
      <c r="M270" s="7"/>
    </row>
    <row r="271" spans="1:12" s="125" customFormat="1" ht="39" customHeight="1" hidden="1">
      <c r="A271" s="1" t="s">
        <v>28</v>
      </c>
      <c r="B271" s="134"/>
      <c r="C271" s="76" t="s">
        <v>148</v>
      </c>
      <c r="D271" s="163">
        <v>363.2</v>
      </c>
      <c r="E271" s="163">
        <v>234.233</v>
      </c>
      <c r="F271" s="163">
        <v>234.233</v>
      </c>
      <c r="G271" s="159">
        <f>F271/E271*100</f>
        <v>100</v>
      </c>
      <c r="H271" s="159">
        <f>F271/D271*100</f>
        <v>64.49146475770925</v>
      </c>
      <c r="I271" s="163">
        <v>234.233</v>
      </c>
      <c r="J271" s="160">
        <f>I271-D271</f>
        <v>-128.96699999999998</v>
      </c>
      <c r="K271" s="161">
        <f>I271/D271</f>
        <v>0.6449146475770925</v>
      </c>
      <c r="L271" s="162"/>
    </row>
    <row r="272" spans="1:13" s="125" customFormat="1" ht="26.25" customHeight="1" hidden="1">
      <c r="A272" s="1" t="s">
        <v>28</v>
      </c>
      <c r="B272" s="134"/>
      <c r="C272" s="80" t="s">
        <v>169</v>
      </c>
      <c r="D272" s="163">
        <v>3250</v>
      </c>
      <c r="E272" s="163">
        <v>1289.331</v>
      </c>
      <c r="F272" s="163">
        <v>1289.331</v>
      </c>
      <c r="G272" s="159">
        <f t="shared" si="69"/>
        <v>100</v>
      </c>
      <c r="H272" s="159">
        <f t="shared" si="70"/>
        <v>39.67172307692308</v>
      </c>
      <c r="I272" s="163">
        <v>1994.6</v>
      </c>
      <c r="J272" s="160">
        <f t="shared" si="67"/>
        <v>-1255.4</v>
      </c>
      <c r="K272" s="161">
        <f t="shared" si="68"/>
        <v>0.6137230769230769</v>
      </c>
      <c r="L272" s="162"/>
      <c r="M272" s="7"/>
    </row>
    <row r="273" spans="1:14" s="128" customFormat="1" ht="52.5" customHeight="1" hidden="1">
      <c r="A273" s="1" t="s">
        <v>28</v>
      </c>
      <c r="B273" s="134"/>
      <c r="C273" s="80" t="s">
        <v>140</v>
      </c>
      <c r="D273" s="160">
        <v>86333.6</v>
      </c>
      <c r="E273" s="160">
        <v>41249.933</v>
      </c>
      <c r="F273" s="160">
        <v>40755.452</v>
      </c>
      <c r="G273" s="159">
        <f t="shared" si="66"/>
        <v>98.80125623476769</v>
      </c>
      <c r="H273" s="159">
        <f t="shared" si="49"/>
        <v>47.2069414457407</v>
      </c>
      <c r="I273" s="168">
        <v>75929.4</v>
      </c>
      <c r="J273" s="160">
        <f t="shared" si="67"/>
        <v>-10404.200000000012</v>
      </c>
      <c r="K273" s="161">
        <f t="shared" si="68"/>
        <v>0.8794884031246234</v>
      </c>
      <c r="L273" s="162"/>
      <c r="M273" s="16"/>
      <c r="N273" s="16"/>
    </row>
    <row r="274" spans="1:12" s="7" customFormat="1" ht="16.5" customHeight="1">
      <c r="A274" s="260"/>
      <c r="B274" s="261"/>
      <c r="C274" s="80" t="s">
        <v>40</v>
      </c>
      <c r="D274" s="107">
        <v>2526.6</v>
      </c>
      <c r="E274" s="107">
        <v>1500.415</v>
      </c>
      <c r="F274" s="107">
        <v>1374.731</v>
      </c>
      <c r="G274" s="65">
        <f t="shared" si="66"/>
        <v>91.62338419703883</v>
      </c>
      <c r="H274" s="65">
        <f t="shared" si="49"/>
        <v>54.41031425631283</v>
      </c>
      <c r="I274" s="65"/>
      <c r="J274" s="65"/>
      <c r="K274" s="67"/>
      <c r="L274" s="21">
        <f>G274-95</f>
        <v>-3.376615802961169</v>
      </c>
    </row>
    <row r="275" spans="1:12" s="99" customFormat="1" ht="27.75" customHeight="1" hidden="1">
      <c r="A275" s="250"/>
      <c r="B275" s="251"/>
      <c r="C275" s="80" t="s">
        <v>83</v>
      </c>
      <c r="D275" s="107"/>
      <c r="E275" s="107"/>
      <c r="F275" s="107"/>
      <c r="G275" s="66" t="e">
        <f t="shared" si="66"/>
        <v>#DIV/0!</v>
      </c>
      <c r="H275" s="66" t="e">
        <f t="shared" si="49"/>
        <v>#DIV/0!</v>
      </c>
      <c r="I275" s="65"/>
      <c r="J275" s="65"/>
      <c r="K275" s="67"/>
      <c r="L275" s="21" t="e">
        <f>G275-95</f>
        <v>#DIV/0!</v>
      </c>
    </row>
    <row r="276" spans="1:12" s="7" customFormat="1" ht="40.5" customHeight="1">
      <c r="A276" s="77" t="s">
        <v>30</v>
      </c>
      <c r="B276" s="78" t="s">
        <v>102</v>
      </c>
      <c r="C276" s="2" t="s">
        <v>61</v>
      </c>
      <c r="D276" s="113">
        <f>D277+D283+D282</f>
        <v>722111.78</v>
      </c>
      <c r="E276" s="113">
        <f>E277+E283+E282</f>
        <v>531320.03</v>
      </c>
      <c r="F276" s="113">
        <f>F277+F283+F282</f>
        <v>504661.77400000003</v>
      </c>
      <c r="G276" s="66">
        <f t="shared" si="66"/>
        <v>94.98263673590472</v>
      </c>
      <c r="H276" s="66">
        <f aca="true" t="shared" si="71" ref="H276:H304">F276/D276*100</f>
        <v>69.88693274052392</v>
      </c>
      <c r="I276" s="66"/>
      <c r="J276" s="66"/>
      <c r="K276" s="67"/>
      <c r="L276" s="32" t="s">
        <v>77</v>
      </c>
    </row>
    <row r="277" spans="1:12" s="31" customFormat="1" ht="17.25" customHeight="1">
      <c r="A277" s="29"/>
      <c r="B277" s="30"/>
      <c r="C277" s="80" t="s">
        <v>39</v>
      </c>
      <c r="D277" s="107">
        <v>630052.964</v>
      </c>
      <c r="E277" s="107">
        <v>525970.964</v>
      </c>
      <c r="F277" s="107">
        <v>503290.118</v>
      </c>
      <c r="G277" s="65">
        <f t="shared" si="66"/>
        <v>95.68781405203197</v>
      </c>
      <c r="H277" s="65">
        <f t="shared" si="71"/>
        <v>79.88060476769697</v>
      </c>
      <c r="I277" s="65">
        <f>I278+I279+I280+I281</f>
        <v>580451.81</v>
      </c>
      <c r="J277" s="65">
        <f>I277-D277</f>
        <v>-49601.15399999998</v>
      </c>
      <c r="K277" s="84">
        <f>I277/D277</f>
        <v>0.9212746279533415</v>
      </c>
      <c r="L277" s="21">
        <f>G277-95</f>
        <v>0.6878140520319675</v>
      </c>
    </row>
    <row r="278" spans="1:13" s="128" customFormat="1" ht="26.25" customHeight="1" hidden="1">
      <c r="A278" s="1" t="s">
        <v>30</v>
      </c>
      <c r="B278" s="134"/>
      <c r="C278" s="80" t="s">
        <v>105</v>
      </c>
      <c r="D278" s="160">
        <v>6627.4</v>
      </c>
      <c r="E278" s="160">
        <v>4469.518</v>
      </c>
      <c r="F278" s="160">
        <v>4352.35</v>
      </c>
      <c r="G278" s="159">
        <f t="shared" si="66"/>
        <v>97.37850927102207</v>
      </c>
      <c r="H278" s="159">
        <f t="shared" si="71"/>
        <v>65.67205842411806</v>
      </c>
      <c r="I278" s="163">
        <v>6524.8</v>
      </c>
      <c r="J278" s="160">
        <f>I278-D278</f>
        <v>-102.59999999999945</v>
      </c>
      <c r="K278" s="161">
        <f>I278/D278</f>
        <v>0.9845188158252106</v>
      </c>
      <c r="L278" s="162"/>
      <c r="M278" s="16"/>
    </row>
    <row r="279" spans="1:12" s="128" customFormat="1" ht="27" customHeight="1" hidden="1">
      <c r="A279" s="1" t="s">
        <v>30</v>
      </c>
      <c r="B279" s="134"/>
      <c r="C279" s="80" t="s">
        <v>113</v>
      </c>
      <c r="D279" s="160">
        <v>663111.917</v>
      </c>
      <c r="E279" s="160">
        <v>387758.277</v>
      </c>
      <c r="F279" s="160">
        <v>357168.326</v>
      </c>
      <c r="G279" s="159">
        <f>F279/E279*100</f>
        <v>92.11107723175694</v>
      </c>
      <c r="H279" s="159">
        <f>F279/D279*100</f>
        <v>53.86245019028967</v>
      </c>
      <c r="I279" s="169">
        <v>571812.604</v>
      </c>
      <c r="J279" s="160">
        <f>I279-D279</f>
        <v>-91299.31299999997</v>
      </c>
      <c r="K279" s="161">
        <f>I279/D279</f>
        <v>0.8623168869999361</v>
      </c>
      <c r="L279" s="162"/>
    </row>
    <row r="280" spans="1:12" s="128" customFormat="1" ht="38.25" customHeight="1" hidden="1">
      <c r="A280" s="1" t="s">
        <v>30</v>
      </c>
      <c r="B280" s="134"/>
      <c r="C280" s="80" t="s">
        <v>114</v>
      </c>
      <c r="D280" s="160">
        <v>2578.2</v>
      </c>
      <c r="E280" s="160">
        <v>2578.2</v>
      </c>
      <c r="F280" s="160">
        <v>1901.576</v>
      </c>
      <c r="G280" s="159">
        <f>F280/E280*100</f>
        <v>73.75595376619347</v>
      </c>
      <c r="H280" s="159">
        <f>F280/D280*100</f>
        <v>73.75595376619347</v>
      </c>
      <c r="I280" s="169">
        <v>1921.005</v>
      </c>
      <c r="J280" s="160">
        <f>I280-D280</f>
        <v>-657.1949999999997</v>
      </c>
      <c r="K280" s="161">
        <f>I280/D280</f>
        <v>0.7450954154060974</v>
      </c>
      <c r="L280" s="162"/>
    </row>
    <row r="281" spans="1:12" s="128" customFormat="1" ht="37.5" customHeight="1" hidden="1">
      <c r="A281" s="1" t="s">
        <v>30</v>
      </c>
      <c r="B281" s="134"/>
      <c r="C281" s="80" t="s">
        <v>116</v>
      </c>
      <c r="D281" s="160">
        <v>201.9</v>
      </c>
      <c r="E281" s="160">
        <v>201.9</v>
      </c>
      <c r="F281" s="160">
        <v>193.401</v>
      </c>
      <c r="G281" s="159">
        <f>F281/E281*100</f>
        <v>95.79049034175334</v>
      </c>
      <c r="H281" s="159">
        <f>F281/D281*100</f>
        <v>95.79049034175334</v>
      </c>
      <c r="I281" s="169">
        <v>193.401</v>
      </c>
      <c r="J281" s="160">
        <f>I281-D281</f>
        <v>-8.498999999999995</v>
      </c>
      <c r="K281" s="161">
        <f>I281/D281</f>
        <v>0.9579049034175334</v>
      </c>
      <c r="L281" s="162"/>
    </row>
    <row r="282" spans="1:12" s="97" customFormat="1" ht="17.25" customHeight="1">
      <c r="A282" s="98"/>
      <c r="B282" s="96"/>
      <c r="C282" s="80" t="s">
        <v>40</v>
      </c>
      <c r="D282" s="107">
        <v>7650</v>
      </c>
      <c r="E282" s="65">
        <v>0</v>
      </c>
      <c r="F282" s="107">
        <v>0</v>
      </c>
      <c r="G282" s="65">
        <v>0</v>
      </c>
      <c r="H282" s="65">
        <f>F282/D282*100</f>
        <v>0</v>
      </c>
      <c r="I282" s="136"/>
      <c r="J282" s="65"/>
      <c r="K282" s="84"/>
      <c r="L282" s="21"/>
    </row>
    <row r="283" spans="1:12" s="7" customFormat="1" ht="27.75" customHeight="1">
      <c r="A283" s="47"/>
      <c r="B283" s="48"/>
      <c r="C283" s="80" t="s">
        <v>83</v>
      </c>
      <c r="D283" s="107">
        <v>84408.816</v>
      </c>
      <c r="E283" s="107">
        <v>5349.066</v>
      </c>
      <c r="F283" s="107">
        <v>1371.656</v>
      </c>
      <c r="G283" s="65">
        <f t="shared" si="66"/>
        <v>25.642906630802457</v>
      </c>
      <c r="H283" s="65">
        <f t="shared" si="71"/>
        <v>1.6250150932101688</v>
      </c>
      <c r="I283" s="65"/>
      <c r="J283" s="65"/>
      <c r="K283" s="67"/>
      <c r="L283" s="21">
        <f>G283-95</f>
        <v>-69.35709336919754</v>
      </c>
    </row>
    <row r="284" spans="1:12" s="7" customFormat="1" ht="28.5" customHeight="1">
      <c r="A284" s="70" t="s">
        <v>31</v>
      </c>
      <c r="B284" s="49" t="s">
        <v>32</v>
      </c>
      <c r="C284" s="2" t="s">
        <v>62</v>
      </c>
      <c r="D284" s="113">
        <f>D285</f>
        <v>25479.8</v>
      </c>
      <c r="E284" s="113">
        <f>E285</f>
        <v>21282.436</v>
      </c>
      <c r="F284" s="113">
        <f>F285</f>
        <v>19087.713</v>
      </c>
      <c r="G284" s="66">
        <f t="shared" si="66"/>
        <v>89.68763256236268</v>
      </c>
      <c r="H284" s="66">
        <f t="shared" si="71"/>
        <v>74.91311941224028</v>
      </c>
      <c r="I284" s="66"/>
      <c r="J284" s="66"/>
      <c r="K284" s="67"/>
      <c r="L284" s="32" t="s">
        <v>77</v>
      </c>
    </row>
    <row r="285" spans="1:12" s="31" customFormat="1" ht="18" customHeight="1">
      <c r="A285" s="29"/>
      <c r="B285" s="30"/>
      <c r="C285" s="76" t="s">
        <v>39</v>
      </c>
      <c r="D285" s="107">
        <v>25479.8</v>
      </c>
      <c r="E285" s="107">
        <v>21282.436</v>
      </c>
      <c r="F285" s="107">
        <v>19087.713</v>
      </c>
      <c r="G285" s="65">
        <f t="shared" si="66"/>
        <v>89.68763256236268</v>
      </c>
      <c r="H285" s="65">
        <f t="shared" si="71"/>
        <v>74.91311941224028</v>
      </c>
      <c r="I285" s="65">
        <f>I286</f>
        <v>22602.7</v>
      </c>
      <c r="J285" s="65">
        <f>I285-D285</f>
        <v>-2877.0999999999985</v>
      </c>
      <c r="K285" s="84">
        <f>I285/D285</f>
        <v>0.8870831011232427</v>
      </c>
      <c r="L285" s="21">
        <f>G285-95</f>
        <v>-5.31236743763732</v>
      </c>
    </row>
    <row r="286" spans="1:13" s="128" customFormat="1" ht="27.75" customHeight="1" hidden="1">
      <c r="A286" s="45">
        <v>977</v>
      </c>
      <c r="B286" s="132"/>
      <c r="C286" s="76" t="s">
        <v>125</v>
      </c>
      <c r="D286" s="158">
        <v>23787.4</v>
      </c>
      <c r="E286" s="158">
        <v>16003.05</v>
      </c>
      <c r="F286" s="158">
        <v>15018.517</v>
      </c>
      <c r="G286" s="159">
        <f t="shared" si="66"/>
        <v>93.84784150521307</v>
      </c>
      <c r="H286" s="159">
        <f t="shared" si="71"/>
        <v>63.1364377779833</v>
      </c>
      <c r="I286" s="160">
        <v>22602.7</v>
      </c>
      <c r="J286" s="160">
        <f>I286-D286</f>
        <v>-1184.7000000000007</v>
      </c>
      <c r="K286" s="161">
        <f>I286/D286</f>
        <v>0.9501963224227953</v>
      </c>
      <c r="L286" s="162"/>
      <c r="M286" s="16"/>
    </row>
    <row r="287" spans="1:12" s="7" customFormat="1" ht="28.5" customHeight="1">
      <c r="A287" s="1" t="s">
        <v>33</v>
      </c>
      <c r="B287" s="2" t="s">
        <v>34</v>
      </c>
      <c r="C287" s="2" t="s">
        <v>63</v>
      </c>
      <c r="D287" s="113">
        <f>D288</f>
        <v>4319.92</v>
      </c>
      <c r="E287" s="113">
        <f>E288</f>
        <v>3368.25</v>
      </c>
      <c r="F287" s="113">
        <f>F288</f>
        <v>2381.311</v>
      </c>
      <c r="G287" s="66">
        <f t="shared" si="66"/>
        <v>70.69876048393084</v>
      </c>
      <c r="H287" s="66">
        <f t="shared" si="71"/>
        <v>55.123960628900534</v>
      </c>
      <c r="I287" s="66"/>
      <c r="J287" s="66"/>
      <c r="K287" s="67"/>
      <c r="L287" s="32" t="s">
        <v>77</v>
      </c>
    </row>
    <row r="288" spans="1:12" s="31" customFormat="1" ht="18" customHeight="1">
      <c r="A288" s="29"/>
      <c r="B288" s="30"/>
      <c r="C288" s="76" t="s">
        <v>39</v>
      </c>
      <c r="D288" s="107">
        <v>4319.92</v>
      </c>
      <c r="E288" s="107">
        <v>3368.25</v>
      </c>
      <c r="F288" s="107">
        <v>2381.311</v>
      </c>
      <c r="G288" s="65">
        <f t="shared" si="66"/>
        <v>70.69876048393084</v>
      </c>
      <c r="H288" s="65">
        <f t="shared" si="71"/>
        <v>55.123960628900534</v>
      </c>
      <c r="I288" s="65">
        <f>I289</f>
        <v>4852.5</v>
      </c>
      <c r="J288" s="65">
        <f>I288-D288</f>
        <v>532.5799999999999</v>
      </c>
      <c r="K288" s="84">
        <f>I288/D288</f>
        <v>1.1232846904572307</v>
      </c>
      <c r="L288" s="21">
        <f>G288-95</f>
        <v>-24.30123951606916</v>
      </c>
    </row>
    <row r="289" spans="1:13" s="128" customFormat="1" ht="27" customHeight="1" hidden="1">
      <c r="A289" s="45">
        <v>978</v>
      </c>
      <c r="B289" s="133"/>
      <c r="C289" s="76" t="s">
        <v>126</v>
      </c>
      <c r="D289" s="158">
        <v>4904.3</v>
      </c>
      <c r="E289" s="158">
        <v>2736.165</v>
      </c>
      <c r="F289" s="158">
        <v>2067.262</v>
      </c>
      <c r="G289" s="159">
        <f>F289/E289*100</f>
        <v>75.55326524533427</v>
      </c>
      <c r="H289" s="159">
        <f>F289/D289*100</f>
        <v>42.15202985135493</v>
      </c>
      <c r="I289" s="160">
        <v>4852.5</v>
      </c>
      <c r="J289" s="160">
        <f>I289-D289</f>
        <v>-51.80000000000018</v>
      </c>
      <c r="K289" s="161">
        <f>I289/D289</f>
        <v>0.9894378402626266</v>
      </c>
      <c r="L289" s="162"/>
      <c r="M289" s="16"/>
    </row>
    <row r="290" spans="1:12" s="7" customFormat="1" ht="30" customHeight="1">
      <c r="A290" s="1" t="s">
        <v>35</v>
      </c>
      <c r="B290" s="2" t="s">
        <v>36</v>
      </c>
      <c r="C290" s="2" t="s">
        <v>149</v>
      </c>
      <c r="D290" s="113">
        <f>D291</f>
        <v>150859.105</v>
      </c>
      <c r="E290" s="113">
        <f>E291</f>
        <v>122884.255</v>
      </c>
      <c r="F290" s="113">
        <f>F291</f>
        <v>105648.436</v>
      </c>
      <c r="G290" s="66">
        <f t="shared" si="66"/>
        <v>85.97394027412217</v>
      </c>
      <c r="H290" s="66">
        <f t="shared" si="71"/>
        <v>70.0311963271955</v>
      </c>
      <c r="I290" s="65"/>
      <c r="J290" s="66"/>
      <c r="K290" s="67"/>
      <c r="L290" s="32" t="s">
        <v>77</v>
      </c>
    </row>
    <row r="291" spans="1:12" s="31" customFormat="1" ht="17.25" customHeight="1">
      <c r="A291" s="29"/>
      <c r="B291" s="30"/>
      <c r="C291" s="76" t="s">
        <v>39</v>
      </c>
      <c r="D291" s="107">
        <v>150859.105</v>
      </c>
      <c r="E291" s="107">
        <v>122884.255</v>
      </c>
      <c r="F291" s="107">
        <v>105648.436</v>
      </c>
      <c r="G291" s="65">
        <f t="shared" si="66"/>
        <v>85.97394027412217</v>
      </c>
      <c r="H291" s="65">
        <f t="shared" si="71"/>
        <v>70.0311963271955</v>
      </c>
      <c r="I291" s="65">
        <f>I292</f>
        <v>134800.8</v>
      </c>
      <c r="J291" s="65">
        <f>I291-D291</f>
        <v>-16058.305000000022</v>
      </c>
      <c r="K291" s="84">
        <f>I291/D291</f>
        <v>0.8935542869619966</v>
      </c>
      <c r="L291" s="21">
        <f>G291-95</f>
        <v>-9.026059725877829</v>
      </c>
    </row>
    <row r="292" spans="1:13" s="128" customFormat="1" ht="27" customHeight="1" hidden="1">
      <c r="A292" s="45">
        <v>985</v>
      </c>
      <c r="B292" s="132"/>
      <c r="C292" s="76" t="s">
        <v>127</v>
      </c>
      <c r="D292" s="158">
        <v>145671.905</v>
      </c>
      <c r="E292" s="158">
        <v>92161.055</v>
      </c>
      <c r="F292" s="158">
        <v>81765.117</v>
      </c>
      <c r="G292" s="159">
        <f t="shared" si="66"/>
        <v>88.71981445958926</v>
      </c>
      <c r="H292" s="159">
        <f t="shared" si="71"/>
        <v>56.12964078419927</v>
      </c>
      <c r="I292" s="160">
        <v>134800.8</v>
      </c>
      <c r="J292" s="160">
        <f>I292-D292</f>
        <v>-10871.10500000001</v>
      </c>
      <c r="K292" s="161">
        <f>I292/D292</f>
        <v>0.9253726722390291</v>
      </c>
      <c r="L292" s="162"/>
      <c r="M292" s="16"/>
    </row>
    <row r="293" spans="1:12" s="11" customFormat="1" ht="40.5" customHeight="1">
      <c r="A293" s="77" t="s">
        <v>37</v>
      </c>
      <c r="B293" s="78" t="s">
        <v>103</v>
      </c>
      <c r="C293" s="2" t="s">
        <v>65</v>
      </c>
      <c r="D293" s="113">
        <f>D294+D297+D298</f>
        <v>1834629.063</v>
      </c>
      <c r="E293" s="113">
        <f>E294+E297+E298</f>
        <v>1795357.0210000002</v>
      </c>
      <c r="F293" s="113">
        <f>F294+F297+F298</f>
        <v>864230.084</v>
      </c>
      <c r="G293" s="66">
        <f t="shared" si="66"/>
        <v>48.13694846714279</v>
      </c>
      <c r="H293" s="66">
        <f t="shared" si="71"/>
        <v>47.10652967563939</v>
      </c>
      <c r="I293" s="65"/>
      <c r="J293" s="66"/>
      <c r="K293" s="67"/>
      <c r="L293" s="32" t="s">
        <v>77</v>
      </c>
    </row>
    <row r="294" spans="1:12" s="31" customFormat="1" ht="16.5" customHeight="1">
      <c r="A294" s="236"/>
      <c r="B294" s="237"/>
      <c r="C294" s="80" t="s">
        <v>39</v>
      </c>
      <c r="D294" s="107">
        <v>550637.717</v>
      </c>
      <c r="E294" s="107">
        <v>511518.228</v>
      </c>
      <c r="F294" s="107">
        <v>393079.318</v>
      </c>
      <c r="G294" s="65">
        <f t="shared" si="66"/>
        <v>76.8456130169422</v>
      </c>
      <c r="H294" s="65">
        <f t="shared" si="71"/>
        <v>71.38619565357527</v>
      </c>
      <c r="I294" s="65">
        <f>I295+I296</f>
        <v>423499.88999999996</v>
      </c>
      <c r="J294" s="65">
        <f>I294-D294</f>
        <v>-127137.82699999999</v>
      </c>
      <c r="K294" s="84">
        <f>I294/D294</f>
        <v>0.7691080304257473</v>
      </c>
      <c r="L294" s="21">
        <f>G294-95</f>
        <v>-18.154386983057805</v>
      </c>
    </row>
    <row r="295" spans="1:12" s="128" customFormat="1" ht="26.25" customHeight="1" hidden="1">
      <c r="A295" s="1" t="s">
        <v>37</v>
      </c>
      <c r="B295" s="134"/>
      <c r="C295" s="80" t="s">
        <v>105</v>
      </c>
      <c r="D295" s="158">
        <v>20708</v>
      </c>
      <c r="E295" s="158">
        <v>13039.606</v>
      </c>
      <c r="F295" s="158">
        <v>12179.303</v>
      </c>
      <c r="G295" s="159">
        <f t="shared" si="66"/>
        <v>93.40238501071275</v>
      </c>
      <c r="H295" s="159">
        <f t="shared" si="71"/>
        <v>58.814482325671236</v>
      </c>
      <c r="I295" s="160">
        <v>19543.1</v>
      </c>
      <c r="J295" s="160">
        <f>I295-D295</f>
        <v>-1164.9000000000015</v>
      </c>
      <c r="K295" s="161">
        <f>I295/D295</f>
        <v>0.9437463782113192</v>
      </c>
      <c r="L295" s="162"/>
    </row>
    <row r="296" spans="1:12" s="128" customFormat="1" ht="26.25" customHeight="1" hidden="1">
      <c r="A296" s="1" t="s">
        <v>37</v>
      </c>
      <c r="B296" s="134"/>
      <c r="C296" s="80" t="s">
        <v>177</v>
      </c>
      <c r="D296" s="158">
        <v>562060.425</v>
      </c>
      <c r="E296" s="158">
        <v>418269.754</v>
      </c>
      <c r="F296" s="158">
        <v>294518.939</v>
      </c>
      <c r="G296" s="159">
        <f>F296/E296*100</f>
        <v>70.41363526371548</v>
      </c>
      <c r="H296" s="159">
        <f>F296/D296*100</f>
        <v>52.39987124160182</v>
      </c>
      <c r="I296" s="160">
        <v>403956.79</v>
      </c>
      <c r="J296" s="160">
        <f>I296-D296</f>
        <v>-158103.63500000007</v>
      </c>
      <c r="K296" s="161">
        <f>I296/D296</f>
        <v>0.7187070500471545</v>
      </c>
      <c r="L296" s="162"/>
    </row>
    <row r="297" spans="1:12" s="7" customFormat="1" ht="17.25" customHeight="1">
      <c r="A297" s="260"/>
      <c r="B297" s="261"/>
      <c r="C297" s="80" t="s">
        <v>40</v>
      </c>
      <c r="D297" s="107">
        <v>818652.24</v>
      </c>
      <c r="E297" s="107">
        <v>818499.687</v>
      </c>
      <c r="F297" s="107">
        <v>283442.139</v>
      </c>
      <c r="G297" s="65">
        <f t="shared" si="66"/>
        <v>34.629474329902834</v>
      </c>
      <c r="H297" s="65">
        <f t="shared" si="71"/>
        <v>34.62302124770342</v>
      </c>
      <c r="I297" s="65"/>
      <c r="J297" s="65"/>
      <c r="K297" s="67"/>
      <c r="L297" s="21">
        <f>G297-95</f>
        <v>-60.370525670097166</v>
      </c>
    </row>
    <row r="298" spans="1:12" s="7" customFormat="1" ht="27" customHeight="1">
      <c r="A298" s="250"/>
      <c r="B298" s="251"/>
      <c r="C298" s="80" t="s">
        <v>83</v>
      </c>
      <c r="D298" s="107">
        <v>465339.106</v>
      </c>
      <c r="E298" s="107">
        <v>465339.106</v>
      </c>
      <c r="F298" s="107">
        <v>187708.627</v>
      </c>
      <c r="G298" s="65">
        <f t="shared" si="66"/>
        <v>40.33802974641895</v>
      </c>
      <c r="H298" s="65">
        <f t="shared" si="71"/>
        <v>40.33802974641895</v>
      </c>
      <c r="I298" s="65"/>
      <c r="J298" s="65"/>
      <c r="K298" s="67"/>
      <c r="L298" s="21">
        <f>G298-95</f>
        <v>-54.66197025358105</v>
      </c>
    </row>
    <row r="299" spans="1:12" s="7" customFormat="1" ht="40.5" customHeight="1">
      <c r="A299" s="70" t="s">
        <v>38</v>
      </c>
      <c r="B299" s="49" t="s">
        <v>104</v>
      </c>
      <c r="C299" s="2" t="s">
        <v>64</v>
      </c>
      <c r="D299" s="113">
        <f>D300</f>
        <v>66428.192</v>
      </c>
      <c r="E299" s="113">
        <f>E300</f>
        <v>52498.973</v>
      </c>
      <c r="F299" s="113">
        <f>F300</f>
        <v>50515.408</v>
      </c>
      <c r="G299" s="66">
        <f t="shared" si="66"/>
        <v>96.22170704177395</v>
      </c>
      <c r="H299" s="66">
        <f t="shared" si="71"/>
        <v>76.04513457177941</v>
      </c>
      <c r="I299" s="66"/>
      <c r="J299" s="66"/>
      <c r="K299" s="67"/>
      <c r="L299" s="32" t="s">
        <v>77</v>
      </c>
    </row>
    <row r="300" spans="1:12" s="31" customFormat="1" ht="17.25" customHeight="1">
      <c r="A300" s="239"/>
      <c r="B300" s="262"/>
      <c r="C300" s="76" t="s">
        <v>39</v>
      </c>
      <c r="D300" s="107">
        <v>66428.192</v>
      </c>
      <c r="E300" s="107">
        <v>52498.973</v>
      </c>
      <c r="F300" s="107">
        <v>50515.408</v>
      </c>
      <c r="G300" s="65">
        <f t="shared" si="66"/>
        <v>96.22170704177395</v>
      </c>
      <c r="H300" s="65">
        <f t="shared" si="71"/>
        <v>76.04513457177941</v>
      </c>
      <c r="I300" s="65">
        <f>I301+I302</f>
        <v>58450.770000000004</v>
      </c>
      <c r="J300" s="65">
        <f>I300-D300</f>
        <v>-7977.421999999991</v>
      </c>
      <c r="K300" s="84">
        <f>I300/D300</f>
        <v>0.8799090904054714</v>
      </c>
      <c r="L300" s="21">
        <f>G300-95</f>
        <v>1.2217070417739535</v>
      </c>
    </row>
    <row r="301" spans="1:13" s="125" customFormat="1" ht="28.5" customHeight="1" hidden="1">
      <c r="A301" s="45">
        <v>992</v>
      </c>
      <c r="B301" s="132"/>
      <c r="C301" s="76" t="s">
        <v>105</v>
      </c>
      <c r="D301" s="158">
        <v>49188.5</v>
      </c>
      <c r="E301" s="158">
        <v>31027.708</v>
      </c>
      <c r="F301" s="158">
        <v>30304.944</v>
      </c>
      <c r="G301" s="159">
        <f t="shared" si="66"/>
        <v>97.67058527171906</v>
      </c>
      <c r="H301" s="159">
        <f t="shared" si="71"/>
        <v>61.60981530235726</v>
      </c>
      <c r="I301" s="160">
        <v>46912.8</v>
      </c>
      <c r="J301" s="160">
        <f>I301-D301</f>
        <v>-2275.699999999997</v>
      </c>
      <c r="K301" s="161">
        <f>I301/D301</f>
        <v>0.9537351210140582</v>
      </c>
      <c r="L301" s="162"/>
      <c r="M301" s="7"/>
    </row>
    <row r="302" spans="1:12" s="125" customFormat="1" ht="27" customHeight="1" hidden="1">
      <c r="A302" s="45">
        <v>992</v>
      </c>
      <c r="B302" s="132"/>
      <c r="C302" s="76" t="s">
        <v>150</v>
      </c>
      <c r="D302" s="158">
        <v>12284.022</v>
      </c>
      <c r="E302" s="158">
        <v>10161.887</v>
      </c>
      <c r="F302" s="158">
        <v>9997.908</v>
      </c>
      <c r="G302" s="159">
        <f t="shared" si="66"/>
        <v>98.38633316823932</v>
      </c>
      <c r="H302" s="159">
        <f t="shared" si="71"/>
        <v>81.389531865052</v>
      </c>
      <c r="I302" s="160">
        <v>11537.97</v>
      </c>
      <c r="J302" s="160">
        <f>I302-D302</f>
        <v>-746.0520000000015</v>
      </c>
      <c r="K302" s="161">
        <f>I302/D302</f>
        <v>0.9392664715188559</v>
      </c>
      <c r="L302" s="162"/>
    </row>
    <row r="303" spans="1:12" s="15" customFormat="1" ht="18" customHeight="1">
      <c r="A303" s="239" t="s">
        <v>89</v>
      </c>
      <c r="B303" s="240"/>
      <c r="C303" s="241"/>
      <c r="D303" s="113">
        <f>112532.932+640</f>
        <v>113172.932</v>
      </c>
      <c r="E303" s="8" t="s">
        <v>77</v>
      </c>
      <c r="F303" s="8" t="s">
        <v>77</v>
      </c>
      <c r="G303" s="8" t="s">
        <v>77</v>
      </c>
      <c r="H303" s="8" t="s">
        <v>77</v>
      </c>
      <c r="I303" s="87"/>
      <c r="J303" s="8"/>
      <c r="K303" s="33"/>
      <c r="L303" s="8" t="s">
        <v>77</v>
      </c>
    </row>
    <row r="304" spans="1:12" ht="29.25" customHeight="1">
      <c r="A304" s="264" t="s">
        <v>73</v>
      </c>
      <c r="B304" s="265"/>
      <c r="C304" s="266"/>
      <c r="D304" s="109">
        <f>D306+D307+D308</f>
        <v>23401159.693000004</v>
      </c>
      <c r="E304" s="109">
        <f>E306+E307+E308</f>
        <v>19779195.277</v>
      </c>
      <c r="F304" s="109">
        <f>F306+F307+F308</f>
        <v>16423606.632000003</v>
      </c>
      <c r="G304" s="68">
        <f t="shared" si="66"/>
        <v>83.03475648019915</v>
      </c>
      <c r="H304" s="68">
        <f t="shared" si="71"/>
        <v>70.18287489791713</v>
      </c>
      <c r="I304" s="106"/>
      <c r="J304" s="68"/>
      <c r="K304" s="69"/>
      <c r="L304" s="53" t="s">
        <v>77</v>
      </c>
    </row>
    <row r="305" spans="1:12" ht="15.75" customHeight="1">
      <c r="A305" s="245"/>
      <c r="B305" s="245"/>
      <c r="C305" s="54" t="s">
        <v>71</v>
      </c>
      <c r="D305" s="116"/>
      <c r="E305" s="152"/>
      <c r="F305" s="71"/>
      <c r="G305" s="68"/>
      <c r="H305" s="68"/>
      <c r="I305" s="71"/>
      <c r="J305" s="71"/>
      <c r="K305" s="73"/>
      <c r="L305" s="55"/>
    </row>
    <row r="306" spans="1:12" ht="20.25" customHeight="1">
      <c r="A306" s="245"/>
      <c r="B306" s="245"/>
      <c r="C306" s="56" t="s">
        <v>39</v>
      </c>
      <c r="D306" s="223">
        <f>D7+D23+D28+D33+D40+D60+D70+D87+D104+D121+D138+D155+D172+D189+D206+D222+D228+D233+D238+D248+D257+D262+D277+D285+D288+D291+D294+D300+D12+D43+D53+D209+D214-D43-D53-D209-D214</f>
        <v>14807685.778</v>
      </c>
      <c r="E306" s="223">
        <f>E7+E23+E28+E33+E40+E60+E70+E87+E104+E121+E138+E155+E172+E189+E206+E222+E228+E233+E238+E248+E257+E262+E277+E285+E288+E291+E294+E300+E12+E43+E53+E209+E214-E43-E53-E209-E214</f>
        <v>12144891.479</v>
      </c>
      <c r="F306" s="109">
        <f>F7+F23+F28+F33+F40+F60+F70+F87+F104+F121+F138+F155+F172+F189+F206+F222+F228+F233+F238+F248+F257+F262+F277+F285+F288+F291+F294+F300+F12+F43+F53+F209+F214-F43-F53-F209-F214</f>
        <v>10905768.546000002</v>
      </c>
      <c r="G306" s="224">
        <f>F306/E306*100</f>
        <v>89.79716751571974</v>
      </c>
      <c r="H306" s="224">
        <f>F306/D306*100</f>
        <v>73.64937850182413</v>
      </c>
      <c r="I306" s="223">
        <f>I7+I12+I23+I28+I33+I43+I53+I60+I70+I87+I104+I121+I138+I155+I172+I189+I209+I214+I222+I228+I233+I238+I248+I257+I262+I277+I285+I288+I291+I294+I300</f>
        <v>11347318.98</v>
      </c>
      <c r="J306" s="224">
        <f>I306-D306</f>
        <v>-3460366.7980000004</v>
      </c>
      <c r="K306" s="225">
        <f>I306/D306</f>
        <v>0.7663127885154668</v>
      </c>
      <c r="L306" s="226">
        <f>G306-95</f>
        <v>-5.202832484280265</v>
      </c>
    </row>
    <row r="307" spans="1:12" ht="18.75" customHeight="1">
      <c r="A307" s="245"/>
      <c r="B307" s="245"/>
      <c r="C307" s="56" t="s">
        <v>40</v>
      </c>
      <c r="D307" s="109">
        <f>D37+D67+D85+D102+D119+D136+D153+D170+D187+D204+D231+D246+D255+D274+D297+D282+D26</f>
        <v>5344575.0490000015</v>
      </c>
      <c r="E307" s="109">
        <f>E37+E67+E85+E102+E119+E136+E153+E170+E187+E204+E231+E246+E255+E274+E297+E282+E26</f>
        <v>5089112.426999999</v>
      </c>
      <c r="F307" s="109">
        <f>F37+F67+F85+F102+F119+F136+F153+F170+F187+F204+F231+F246+F255+F274+F297+F282+F26</f>
        <v>3883695.023</v>
      </c>
      <c r="G307" s="68">
        <f>F307/E307*100</f>
        <v>76.31379889340378</v>
      </c>
      <c r="H307" s="68">
        <f>F307/D307*100</f>
        <v>72.66611446922539</v>
      </c>
      <c r="I307" s="68"/>
      <c r="J307" s="68"/>
      <c r="K307" s="69"/>
      <c r="L307" s="57">
        <f>G307-95</f>
        <v>-18.686201106596215</v>
      </c>
    </row>
    <row r="308" spans="1:12" ht="31.5" customHeight="1">
      <c r="A308" s="245"/>
      <c r="B308" s="245"/>
      <c r="C308" s="58" t="s">
        <v>83</v>
      </c>
      <c r="D308" s="223">
        <f>D38+D41+D51+D58+D68+D207+D212+D220+D226+D236+D275+D283+D298+D303-D212-D220</f>
        <v>3248898.866</v>
      </c>
      <c r="E308" s="223">
        <f>E38+E41+E68+E207+E226+E236+E275+E283+E298+E220+E212-E212-E220</f>
        <v>2545191.3710000003</v>
      </c>
      <c r="F308" s="109">
        <f>F38+F41+F68+F207+F226+F236+F275+F283+F298+F220+F212-F212-F220</f>
        <v>1634143.063</v>
      </c>
      <c r="G308" s="224">
        <f>F308/E308*100</f>
        <v>64.20511563961293</v>
      </c>
      <c r="H308" s="224">
        <f>F308/D308*100</f>
        <v>50.29836662819655</v>
      </c>
      <c r="I308" s="224"/>
      <c r="J308" s="224"/>
      <c r="K308" s="225"/>
      <c r="L308" s="226">
        <f>G308-95</f>
        <v>-30.794884360387073</v>
      </c>
    </row>
    <row r="309" spans="1:12" ht="26.25" customHeight="1">
      <c r="A309" s="242" t="s">
        <v>72</v>
      </c>
      <c r="B309" s="243"/>
      <c r="C309" s="244"/>
      <c r="D309" s="110">
        <f>D311+D312+D313</f>
        <v>23856089.139000002</v>
      </c>
      <c r="E309" s="110">
        <f>E311+E312+E313</f>
        <v>20220810.423</v>
      </c>
      <c r="F309" s="110">
        <f>F311+F312+F313</f>
        <v>16830560.23</v>
      </c>
      <c r="G309" s="85">
        <f>F309/E309*100</f>
        <v>83.23385600240934</v>
      </c>
      <c r="H309" s="85">
        <f>F309/D309*100</f>
        <v>70.55037450579171</v>
      </c>
      <c r="I309" s="85"/>
      <c r="J309" s="85"/>
      <c r="K309" s="74"/>
      <c r="L309" s="59" t="s">
        <v>77</v>
      </c>
    </row>
    <row r="310" spans="1:12" ht="14.25" customHeight="1">
      <c r="A310" s="263"/>
      <c r="B310" s="263"/>
      <c r="C310" s="60" t="s">
        <v>71</v>
      </c>
      <c r="D310" s="117"/>
      <c r="E310" s="156"/>
      <c r="F310" s="111"/>
      <c r="G310" s="85"/>
      <c r="H310" s="85"/>
      <c r="I310" s="111"/>
      <c r="J310" s="86"/>
      <c r="K310" s="75"/>
      <c r="L310" s="61"/>
    </row>
    <row r="311" spans="1:12" ht="30.75" customHeight="1">
      <c r="A311" s="263"/>
      <c r="B311" s="263"/>
      <c r="C311" s="62" t="s">
        <v>80</v>
      </c>
      <c r="D311" s="227">
        <f>D306+D20+D21+D18+D19</f>
        <v>15262615.224000001</v>
      </c>
      <c r="E311" s="227">
        <f>E306+E17</f>
        <v>12586506.625</v>
      </c>
      <c r="F311" s="112">
        <f>F306+F20+F21+F18+F19</f>
        <v>11312722.144000001</v>
      </c>
      <c r="G311" s="228">
        <f>F311/E311*100</f>
        <v>89.8797615656918</v>
      </c>
      <c r="H311" s="228">
        <f>F311/D311*100</f>
        <v>74.12047003721281</v>
      </c>
      <c r="I311" s="227">
        <f>I306+I20+I21+I18+I19</f>
        <v>11601646.621000001</v>
      </c>
      <c r="J311" s="224">
        <f>I311-D311</f>
        <v>-3660968.603</v>
      </c>
      <c r="K311" s="225">
        <f>I311/D311</f>
        <v>0.7601349081222176</v>
      </c>
      <c r="L311" s="230">
        <f>G311-95</f>
        <v>-5.120238434308206</v>
      </c>
    </row>
    <row r="312" spans="1:12" ht="18.75" customHeight="1">
      <c r="A312" s="263"/>
      <c r="B312" s="263"/>
      <c r="C312" s="62" t="s">
        <v>40</v>
      </c>
      <c r="D312" s="112">
        <f aca="true" t="shared" si="72" ref="D312:F313">D307</f>
        <v>5344575.0490000015</v>
      </c>
      <c r="E312" s="112">
        <f t="shared" si="72"/>
        <v>5089112.426999999</v>
      </c>
      <c r="F312" s="112">
        <f t="shared" si="72"/>
        <v>3883695.023</v>
      </c>
      <c r="G312" s="85">
        <f>F312/E312*100</f>
        <v>76.31379889340378</v>
      </c>
      <c r="H312" s="85">
        <f>F312/D312*100</f>
        <v>72.66611446922539</v>
      </c>
      <c r="I312" s="85"/>
      <c r="J312" s="85"/>
      <c r="K312" s="74"/>
      <c r="L312" s="63">
        <f>G312-95</f>
        <v>-18.686201106596215</v>
      </c>
    </row>
    <row r="313" spans="1:12" ht="31.5" customHeight="1">
      <c r="A313" s="263"/>
      <c r="B313" s="263"/>
      <c r="C313" s="64" t="s">
        <v>83</v>
      </c>
      <c r="D313" s="227">
        <f>D308</f>
        <v>3248898.866</v>
      </c>
      <c r="E313" s="227">
        <f t="shared" si="72"/>
        <v>2545191.3710000003</v>
      </c>
      <c r="F313" s="112">
        <f t="shared" si="72"/>
        <v>1634143.063</v>
      </c>
      <c r="G313" s="228">
        <f>F313/E313*100</f>
        <v>64.20511563961293</v>
      </c>
      <c r="H313" s="228">
        <f>F313/D313*100</f>
        <v>50.29836662819655</v>
      </c>
      <c r="I313" s="228"/>
      <c r="J313" s="228"/>
      <c r="K313" s="229"/>
      <c r="L313" s="230">
        <f>G313-95</f>
        <v>-30.794884360387073</v>
      </c>
    </row>
    <row r="314" spans="1:12" ht="10.5" customHeight="1">
      <c r="A314" s="10"/>
      <c r="B314" s="3"/>
      <c r="C314" s="3"/>
      <c r="D314" s="17"/>
      <c r="E314" s="153"/>
      <c r="F314" s="51"/>
      <c r="G314" s="18"/>
      <c r="H314" s="18"/>
      <c r="I314" s="103"/>
      <c r="J314" s="18"/>
      <c r="K314" s="20"/>
      <c r="L314" s="18"/>
    </row>
    <row r="315" spans="1:12" ht="10.5" customHeight="1" hidden="1">
      <c r="A315" s="173"/>
      <c r="B315" s="174"/>
      <c r="C315" s="174"/>
      <c r="D315" s="175"/>
      <c r="E315" s="176"/>
      <c r="F315" s="51"/>
      <c r="G315" s="177"/>
      <c r="H315" s="177"/>
      <c r="I315" s="178"/>
      <c r="J315" s="177"/>
      <c r="K315" s="179"/>
      <c r="L315" s="177"/>
    </row>
    <row r="316" spans="1:12" ht="30.75" customHeight="1" hidden="1">
      <c r="A316" s="246" t="s">
        <v>195</v>
      </c>
      <c r="B316" s="247"/>
      <c r="C316" s="247"/>
      <c r="D316" s="247"/>
      <c r="E316" s="247"/>
      <c r="F316" s="247"/>
      <c r="G316" s="247"/>
      <c r="H316" s="247"/>
      <c r="I316" s="247"/>
      <c r="J316" s="247"/>
      <c r="K316" s="247"/>
      <c r="L316" s="247"/>
    </row>
    <row r="317" spans="1:20" s="12" customFormat="1" ht="18.75" customHeight="1">
      <c r="A317" s="238" t="s">
        <v>197</v>
      </c>
      <c r="B317" s="238"/>
      <c r="C317" s="238"/>
      <c r="D317" s="238"/>
      <c r="E317" s="238"/>
      <c r="F317" s="238"/>
      <c r="G317" s="238"/>
      <c r="H317" s="238"/>
      <c r="I317" s="238"/>
      <c r="J317" s="238"/>
      <c r="K317" s="238"/>
      <c r="L317" s="238"/>
      <c r="M317" s="14"/>
      <c r="N317" s="14"/>
      <c r="O317" s="14"/>
      <c r="P317" s="14"/>
      <c r="Q317" s="14"/>
      <c r="R317" s="14"/>
      <c r="S317" s="14"/>
      <c r="T317" s="14"/>
    </row>
    <row r="318" spans="1:12" s="22" customFormat="1" ht="15.75" customHeight="1">
      <c r="A318" s="238"/>
      <c r="B318" s="238"/>
      <c r="C318" s="238"/>
      <c r="D318" s="238"/>
      <c r="E318" s="238"/>
      <c r="F318" s="238"/>
      <c r="G318" s="238"/>
      <c r="H318" s="238"/>
      <c r="I318" s="238"/>
      <c r="J318" s="34"/>
      <c r="K318" s="34"/>
      <c r="L318" s="34"/>
    </row>
    <row r="319" spans="1:12" s="12" customFormat="1" ht="12.75">
      <c r="A319" s="36"/>
      <c r="B319" s="13"/>
      <c r="C319" s="13"/>
      <c r="D319" s="23"/>
      <c r="E319" s="154"/>
      <c r="F319" s="52"/>
      <c r="G319" s="23"/>
      <c r="H319" s="23"/>
      <c r="I319" s="104"/>
      <c r="J319" s="23"/>
      <c r="K319" s="24"/>
      <c r="L319" s="23"/>
    </row>
    <row r="320" spans="1:12" s="12" customFormat="1" ht="12.75">
      <c r="A320" s="36"/>
      <c r="B320" s="13"/>
      <c r="C320" s="13"/>
      <c r="D320" s="23"/>
      <c r="E320" s="154"/>
      <c r="F320" s="52"/>
      <c r="G320" s="23"/>
      <c r="H320" s="23"/>
      <c r="I320" s="104"/>
      <c r="J320" s="23"/>
      <c r="K320" s="24"/>
      <c r="L320" s="23"/>
    </row>
    <row r="321" spans="1:12" s="12" customFormat="1" ht="12.75">
      <c r="A321" s="36"/>
      <c r="B321" s="13"/>
      <c r="C321" s="13"/>
      <c r="D321" s="23"/>
      <c r="E321" s="154"/>
      <c r="F321" s="52"/>
      <c r="G321" s="23"/>
      <c r="H321" s="23"/>
      <c r="I321" s="104"/>
      <c r="J321" s="23"/>
      <c r="K321" s="24"/>
      <c r="L321" s="23"/>
    </row>
    <row r="322" spans="1:12" s="12" customFormat="1" ht="12.75">
      <c r="A322" s="36"/>
      <c r="B322" s="13"/>
      <c r="C322" s="13"/>
      <c r="D322" s="23"/>
      <c r="E322" s="154"/>
      <c r="F322" s="52"/>
      <c r="G322" s="23"/>
      <c r="H322" s="23"/>
      <c r="I322" s="104"/>
      <c r="J322" s="23"/>
      <c r="K322" s="24"/>
      <c r="L322" s="23"/>
    </row>
    <row r="323" spans="1:12" s="12" customFormat="1" ht="12.75">
      <c r="A323" s="36"/>
      <c r="B323" s="13"/>
      <c r="C323" s="13"/>
      <c r="D323" s="23"/>
      <c r="E323" s="154"/>
      <c r="F323" s="52"/>
      <c r="G323" s="23"/>
      <c r="H323" s="23"/>
      <c r="I323" s="104"/>
      <c r="J323" s="23"/>
      <c r="K323" s="24"/>
      <c r="L323" s="23"/>
    </row>
    <row r="324" spans="1:12" s="12" customFormat="1" ht="12.75">
      <c r="A324" s="36"/>
      <c r="B324" s="13"/>
      <c r="C324" s="13"/>
      <c r="D324" s="23"/>
      <c r="E324" s="154"/>
      <c r="F324" s="52"/>
      <c r="G324" s="23"/>
      <c r="H324" s="23"/>
      <c r="I324" s="104"/>
      <c r="J324" s="23"/>
      <c r="K324" s="24"/>
      <c r="L324" s="23"/>
    </row>
    <row r="325" spans="1:12" s="12" customFormat="1" ht="12.75">
      <c r="A325" s="36"/>
      <c r="B325" s="13"/>
      <c r="C325" s="13"/>
      <c r="D325" s="23"/>
      <c r="E325" s="154"/>
      <c r="F325" s="52"/>
      <c r="G325" s="23"/>
      <c r="H325" s="23"/>
      <c r="I325" s="104"/>
      <c r="J325" s="23"/>
      <c r="K325" s="24"/>
      <c r="L325" s="23"/>
    </row>
    <row r="326" spans="1:12" s="12" customFormat="1" ht="12.75">
      <c r="A326" s="36"/>
      <c r="B326" s="13"/>
      <c r="C326" s="13"/>
      <c r="D326" s="23"/>
      <c r="E326" s="154"/>
      <c r="F326" s="52"/>
      <c r="G326" s="23"/>
      <c r="H326" s="23"/>
      <c r="I326" s="104"/>
      <c r="J326" s="23"/>
      <c r="K326" s="24"/>
      <c r="L326" s="23"/>
    </row>
    <row r="327" spans="1:12" s="12" customFormat="1" ht="12.75">
      <c r="A327" s="36"/>
      <c r="B327" s="13"/>
      <c r="C327" s="13"/>
      <c r="D327" s="23"/>
      <c r="E327" s="154"/>
      <c r="F327" s="52"/>
      <c r="G327" s="23"/>
      <c r="H327" s="23"/>
      <c r="I327" s="104"/>
      <c r="J327" s="23"/>
      <c r="K327" s="24"/>
      <c r="L327" s="23"/>
    </row>
    <row r="328" spans="1:12" s="12" customFormat="1" ht="12.75">
      <c r="A328" s="36"/>
      <c r="B328" s="13"/>
      <c r="C328" s="13"/>
      <c r="D328" s="23"/>
      <c r="E328" s="154"/>
      <c r="F328" s="52"/>
      <c r="G328" s="23"/>
      <c r="H328" s="23"/>
      <c r="I328" s="104"/>
      <c r="J328" s="23"/>
      <c r="K328" s="24"/>
      <c r="L328" s="23"/>
    </row>
    <row r="329" spans="1:12" s="12" customFormat="1" ht="12.75">
      <c r="A329" s="36"/>
      <c r="B329" s="13"/>
      <c r="C329" s="13"/>
      <c r="D329" s="23"/>
      <c r="E329" s="154"/>
      <c r="F329" s="52"/>
      <c r="G329" s="23"/>
      <c r="H329" s="23"/>
      <c r="I329" s="104"/>
      <c r="J329" s="23"/>
      <c r="K329" s="24"/>
      <c r="L329" s="23"/>
    </row>
    <row r="330" spans="1:12" s="12" customFormat="1" ht="12.75">
      <c r="A330" s="36"/>
      <c r="B330" s="13"/>
      <c r="C330" s="13"/>
      <c r="D330" s="23"/>
      <c r="E330" s="154"/>
      <c r="F330" s="52"/>
      <c r="G330" s="23"/>
      <c r="H330" s="23"/>
      <c r="I330" s="104"/>
      <c r="J330" s="23"/>
      <c r="K330" s="24"/>
      <c r="L330" s="23"/>
    </row>
    <row r="331" spans="1:12" s="12" customFormat="1" ht="12.75">
      <c r="A331" s="36"/>
      <c r="B331" s="13"/>
      <c r="C331" s="13"/>
      <c r="D331" s="23"/>
      <c r="E331" s="154"/>
      <c r="F331" s="52"/>
      <c r="G331" s="23"/>
      <c r="H331" s="23"/>
      <c r="I331" s="104"/>
      <c r="J331" s="23"/>
      <c r="K331" s="24"/>
      <c r="L331" s="23"/>
    </row>
    <row r="332" spans="1:12" s="12" customFormat="1" ht="12.75">
      <c r="A332" s="36"/>
      <c r="B332" s="13"/>
      <c r="C332" s="13"/>
      <c r="D332" s="23"/>
      <c r="E332" s="154"/>
      <c r="F332" s="52"/>
      <c r="G332" s="23"/>
      <c r="H332" s="23"/>
      <c r="I332" s="104"/>
      <c r="J332" s="23"/>
      <c r="K332" s="24"/>
      <c r="L332" s="23"/>
    </row>
    <row r="333" spans="1:12" s="12" customFormat="1" ht="12.75">
      <c r="A333" s="36"/>
      <c r="B333" s="13"/>
      <c r="C333" s="13"/>
      <c r="D333" s="23"/>
      <c r="E333" s="154"/>
      <c r="F333" s="52"/>
      <c r="G333" s="23"/>
      <c r="H333" s="23"/>
      <c r="I333" s="104"/>
      <c r="J333" s="23"/>
      <c r="K333" s="24"/>
      <c r="L333" s="23"/>
    </row>
    <row r="334" spans="1:12" s="12" customFormat="1" ht="12.75">
      <c r="A334" s="36"/>
      <c r="B334" s="13"/>
      <c r="C334" s="13"/>
      <c r="D334" s="23"/>
      <c r="E334" s="154"/>
      <c r="F334" s="52"/>
      <c r="G334" s="23"/>
      <c r="H334" s="23"/>
      <c r="I334" s="104"/>
      <c r="J334" s="23"/>
      <c r="K334" s="24"/>
      <c r="L334" s="23"/>
    </row>
    <row r="335" spans="1:12" s="12" customFormat="1" ht="12.75">
      <c r="A335" s="36"/>
      <c r="B335" s="13"/>
      <c r="C335" s="13"/>
      <c r="D335" s="23"/>
      <c r="E335" s="154"/>
      <c r="F335" s="52"/>
      <c r="G335" s="23"/>
      <c r="H335" s="23"/>
      <c r="I335" s="104"/>
      <c r="J335" s="23"/>
      <c r="K335" s="24"/>
      <c r="L335" s="23"/>
    </row>
    <row r="336" spans="1:12" s="12" customFormat="1" ht="12.75">
      <c r="A336" s="36"/>
      <c r="B336" s="13"/>
      <c r="C336" s="13"/>
      <c r="D336" s="23"/>
      <c r="E336" s="154"/>
      <c r="F336" s="52"/>
      <c r="G336" s="23"/>
      <c r="H336" s="23"/>
      <c r="I336" s="104"/>
      <c r="J336" s="23"/>
      <c r="K336" s="24"/>
      <c r="L336" s="23"/>
    </row>
    <row r="337" spans="1:12" s="12" customFormat="1" ht="12.75">
      <c r="A337" s="36"/>
      <c r="B337" s="13"/>
      <c r="C337" s="13"/>
      <c r="D337" s="23"/>
      <c r="E337" s="154"/>
      <c r="F337" s="52"/>
      <c r="G337" s="23"/>
      <c r="H337" s="23"/>
      <c r="I337" s="104"/>
      <c r="J337" s="23"/>
      <c r="K337" s="24"/>
      <c r="L337" s="23"/>
    </row>
    <row r="338" spans="1:12" s="12" customFormat="1" ht="12.75">
      <c r="A338" s="36"/>
      <c r="B338" s="13"/>
      <c r="C338" s="13"/>
      <c r="D338" s="23"/>
      <c r="E338" s="154"/>
      <c r="F338" s="52"/>
      <c r="G338" s="23"/>
      <c r="H338" s="23"/>
      <c r="I338" s="104"/>
      <c r="J338" s="23"/>
      <c r="K338" s="24"/>
      <c r="L338" s="23"/>
    </row>
    <row r="339" spans="1:12" s="12" customFormat="1" ht="12.75">
      <c r="A339" s="36"/>
      <c r="B339" s="13"/>
      <c r="C339" s="13"/>
      <c r="D339" s="23"/>
      <c r="E339" s="154"/>
      <c r="F339" s="52"/>
      <c r="G339" s="23"/>
      <c r="H339" s="23"/>
      <c r="I339" s="104"/>
      <c r="J339" s="23"/>
      <c r="K339" s="24"/>
      <c r="L339" s="23"/>
    </row>
    <row r="340" spans="1:12" s="12" customFormat="1" ht="12.75">
      <c r="A340" s="36"/>
      <c r="B340" s="13"/>
      <c r="C340" s="13"/>
      <c r="D340" s="23"/>
      <c r="E340" s="154"/>
      <c r="F340" s="52"/>
      <c r="G340" s="23"/>
      <c r="H340" s="23"/>
      <c r="I340" s="104"/>
      <c r="J340" s="23"/>
      <c r="K340" s="24"/>
      <c r="L340" s="23"/>
    </row>
    <row r="341" spans="1:12" s="12" customFormat="1" ht="12.75">
      <c r="A341" s="36"/>
      <c r="B341" s="13"/>
      <c r="C341" s="13"/>
      <c r="D341" s="23"/>
      <c r="E341" s="154"/>
      <c r="F341" s="52"/>
      <c r="G341" s="23"/>
      <c r="H341" s="23"/>
      <c r="I341" s="104"/>
      <c r="J341" s="23"/>
      <c r="K341" s="24"/>
      <c r="L341" s="23"/>
    </row>
    <row r="342" spans="1:12" s="12" customFormat="1" ht="12.75">
      <c r="A342" s="36"/>
      <c r="B342" s="13"/>
      <c r="C342" s="13"/>
      <c r="D342" s="23"/>
      <c r="E342" s="154"/>
      <c r="F342" s="52"/>
      <c r="G342" s="23"/>
      <c r="H342" s="23"/>
      <c r="I342" s="104"/>
      <c r="J342" s="23"/>
      <c r="K342" s="24"/>
      <c r="L342" s="23"/>
    </row>
    <row r="343" spans="1:12" s="12" customFormat="1" ht="12.75">
      <c r="A343" s="36"/>
      <c r="B343" s="13"/>
      <c r="C343" s="13"/>
      <c r="D343" s="23"/>
      <c r="E343" s="154"/>
      <c r="F343" s="52"/>
      <c r="G343" s="23"/>
      <c r="H343" s="23"/>
      <c r="I343" s="104"/>
      <c r="J343" s="23"/>
      <c r="K343" s="24"/>
      <c r="L343" s="23"/>
    </row>
    <row r="344" spans="1:12" s="12" customFormat="1" ht="12.75">
      <c r="A344" s="36"/>
      <c r="B344" s="13"/>
      <c r="C344" s="13"/>
      <c r="D344" s="23"/>
      <c r="E344" s="154"/>
      <c r="F344" s="52"/>
      <c r="G344" s="23"/>
      <c r="H344" s="23"/>
      <c r="I344" s="104"/>
      <c r="J344" s="23"/>
      <c r="K344" s="24"/>
      <c r="L344" s="23"/>
    </row>
    <row r="345" spans="1:12" s="12" customFormat="1" ht="12.75">
      <c r="A345" s="36"/>
      <c r="B345" s="13"/>
      <c r="C345" s="13"/>
      <c r="D345" s="23"/>
      <c r="E345" s="154"/>
      <c r="F345" s="52"/>
      <c r="G345" s="23"/>
      <c r="H345" s="23"/>
      <c r="I345" s="104"/>
      <c r="J345" s="23"/>
      <c r="K345" s="24"/>
      <c r="L345" s="23"/>
    </row>
    <row r="346" spans="1:12" s="12" customFormat="1" ht="12.75">
      <c r="A346" s="36"/>
      <c r="B346" s="13"/>
      <c r="C346" s="13"/>
      <c r="D346" s="23"/>
      <c r="E346" s="154"/>
      <c r="F346" s="52"/>
      <c r="G346" s="23"/>
      <c r="H346" s="23"/>
      <c r="I346" s="104"/>
      <c r="J346" s="23"/>
      <c r="K346" s="24"/>
      <c r="L346" s="23"/>
    </row>
    <row r="347" spans="1:12" s="12" customFormat="1" ht="12.75">
      <c r="A347" s="36"/>
      <c r="B347" s="13"/>
      <c r="C347" s="13"/>
      <c r="D347" s="23"/>
      <c r="E347" s="154"/>
      <c r="F347" s="52"/>
      <c r="G347" s="23"/>
      <c r="H347" s="23"/>
      <c r="I347" s="104"/>
      <c r="J347" s="23"/>
      <c r="K347" s="24"/>
      <c r="L347" s="23"/>
    </row>
    <row r="348" spans="1:12" s="12" customFormat="1" ht="12.75">
      <c r="A348" s="36"/>
      <c r="B348" s="13"/>
      <c r="C348" s="13"/>
      <c r="D348" s="23"/>
      <c r="E348" s="154"/>
      <c r="F348" s="52"/>
      <c r="G348" s="23"/>
      <c r="H348" s="23"/>
      <c r="I348" s="104"/>
      <c r="J348" s="23"/>
      <c r="K348" s="24"/>
      <c r="L348" s="23"/>
    </row>
    <row r="349" spans="1:12" s="12" customFormat="1" ht="12.75">
      <c r="A349" s="36"/>
      <c r="B349" s="13"/>
      <c r="C349" s="13"/>
      <c r="D349" s="23"/>
      <c r="E349" s="154"/>
      <c r="F349" s="52"/>
      <c r="G349" s="23"/>
      <c r="H349" s="23"/>
      <c r="I349" s="104"/>
      <c r="J349" s="23"/>
      <c r="K349" s="24"/>
      <c r="L349" s="23"/>
    </row>
    <row r="350" spans="1:12" s="12" customFormat="1" ht="12.75">
      <c r="A350" s="36"/>
      <c r="B350" s="13"/>
      <c r="C350" s="13"/>
      <c r="D350" s="23"/>
      <c r="E350" s="154"/>
      <c r="F350" s="52"/>
      <c r="G350" s="23"/>
      <c r="H350" s="23"/>
      <c r="I350" s="104"/>
      <c r="J350" s="23"/>
      <c r="K350" s="24"/>
      <c r="L350" s="23"/>
    </row>
    <row r="351" spans="1:12" s="12" customFormat="1" ht="12.75">
      <c r="A351" s="36"/>
      <c r="B351" s="13"/>
      <c r="C351" s="13"/>
      <c r="D351" s="23"/>
      <c r="E351" s="154"/>
      <c r="F351" s="52"/>
      <c r="G351" s="23"/>
      <c r="H351" s="23"/>
      <c r="I351" s="104"/>
      <c r="J351" s="23"/>
      <c r="K351" s="24"/>
      <c r="L351" s="23"/>
    </row>
    <row r="352" spans="1:12" s="12" customFormat="1" ht="12.75">
      <c r="A352" s="36"/>
      <c r="B352" s="13"/>
      <c r="C352" s="13"/>
      <c r="D352" s="23"/>
      <c r="E352" s="154"/>
      <c r="F352" s="52"/>
      <c r="G352" s="23"/>
      <c r="H352" s="23"/>
      <c r="I352" s="104"/>
      <c r="J352" s="23"/>
      <c r="K352" s="24"/>
      <c r="L352" s="23"/>
    </row>
    <row r="353" spans="1:12" s="12" customFormat="1" ht="12.75">
      <c r="A353" s="36"/>
      <c r="B353" s="13"/>
      <c r="C353" s="13"/>
      <c r="D353" s="23"/>
      <c r="E353" s="154"/>
      <c r="F353" s="52"/>
      <c r="G353" s="23"/>
      <c r="H353" s="23"/>
      <c r="I353" s="104"/>
      <c r="J353" s="23"/>
      <c r="K353" s="24"/>
      <c r="L353" s="23"/>
    </row>
    <row r="354" spans="1:12" s="12" customFormat="1" ht="12.75">
      <c r="A354" s="36"/>
      <c r="B354" s="13"/>
      <c r="C354" s="13"/>
      <c r="D354" s="23"/>
      <c r="E354" s="154"/>
      <c r="F354" s="52"/>
      <c r="G354" s="23"/>
      <c r="H354" s="23"/>
      <c r="I354" s="104"/>
      <c r="J354" s="23"/>
      <c r="K354" s="24"/>
      <c r="L354" s="23"/>
    </row>
    <row r="355" spans="1:12" s="12" customFormat="1" ht="12.75">
      <c r="A355" s="36"/>
      <c r="B355" s="13"/>
      <c r="C355" s="13"/>
      <c r="D355" s="23"/>
      <c r="E355" s="154"/>
      <c r="F355" s="52"/>
      <c r="G355" s="23"/>
      <c r="H355" s="23"/>
      <c r="I355" s="104"/>
      <c r="J355" s="23"/>
      <c r="K355" s="24"/>
      <c r="L355" s="23"/>
    </row>
    <row r="356" spans="1:12" s="12" customFormat="1" ht="12.75">
      <c r="A356" s="36"/>
      <c r="B356" s="13"/>
      <c r="C356" s="13"/>
      <c r="D356" s="23"/>
      <c r="E356" s="154"/>
      <c r="F356" s="52"/>
      <c r="G356" s="23"/>
      <c r="H356" s="23"/>
      <c r="I356" s="104"/>
      <c r="J356" s="23"/>
      <c r="K356" s="24"/>
      <c r="L356" s="23"/>
    </row>
    <row r="357" spans="1:12" s="12" customFormat="1" ht="12.75">
      <c r="A357" s="36"/>
      <c r="B357" s="13"/>
      <c r="C357" s="13"/>
      <c r="D357" s="23"/>
      <c r="E357" s="154"/>
      <c r="F357" s="52"/>
      <c r="G357" s="23"/>
      <c r="H357" s="23"/>
      <c r="I357" s="104"/>
      <c r="J357" s="23"/>
      <c r="K357" s="24"/>
      <c r="L357" s="23"/>
    </row>
    <row r="358" spans="1:12" s="12" customFormat="1" ht="12.75">
      <c r="A358" s="36"/>
      <c r="B358" s="13"/>
      <c r="C358" s="13"/>
      <c r="D358" s="23"/>
      <c r="E358" s="154"/>
      <c r="F358" s="52"/>
      <c r="G358" s="23"/>
      <c r="H358" s="23"/>
      <c r="I358" s="104"/>
      <c r="J358" s="23"/>
      <c r="K358" s="24"/>
      <c r="L358" s="23"/>
    </row>
    <row r="359" spans="1:12" s="12" customFormat="1" ht="12.75">
      <c r="A359" s="36"/>
      <c r="B359" s="13"/>
      <c r="C359" s="13"/>
      <c r="D359" s="23"/>
      <c r="E359" s="154"/>
      <c r="F359" s="52"/>
      <c r="G359" s="23"/>
      <c r="H359" s="23"/>
      <c r="I359" s="104"/>
      <c r="J359" s="23"/>
      <c r="K359" s="24"/>
      <c r="L359" s="23"/>
    </row>
    <row r="360" spans="1:12" s="12" customFormat="1" ht="12.75">
      <c r="A360" s="36"/>
      <c r="B360" s="13"/>
      <c r="C360" s="13"/>
      <c r="D360" s="23"/>
      <c r="E360" s="154"/>
      <c r="F360" s="52"/>
      <c r="G360" s="23"/>
      <c r="H360" s="23"/>
      <c r="I360" s="104"/>
      <c r="J360" s="23"/>
      <c r="K360" s="24"/>
      <c r="L360" s="23"/>
    </row>
    <row r="361" spans="1:12" s="12" customFormat="1" ht="12.75">
      <c r="A361" s="36"/>
      <c r="B361" s="13"/>
      <c r="C361" s="13"/>
      <c r="D361" s="23"/>
      <c r="E361" s="154"/>
      <c r="F361" s="52"/>
      <c r="G361" s="23"/>
      <c r="H361" s="23"/>
      <c r="I361" s="104"/>
      <c r="J361" s="23"/>
      <c r="K361" s="24"/>
      <c r="L361" s="23"/>
    </row>
    <row r="362" spans="1:12" s="12" customFormat="1" ht="12.75">
      <c r="A362" s="36"/>
      <c r="B362" s="13"/>
      <c r="C362" s="13"/>
      <c r="D362" s="23"/>
      <c r="E362" s="154"/>
      <c r="F362" s="52"/>
      <c r="G362" s="23"/>
      <c r="H362" s="23"/>
      <c r="I362" s="104"/>
      <c r="J362" s="23"/>
      <c r="K362" s="24"/>
      <c r="L362" s="23"/>
    </row>
    <row r="363" spans="1:12" s="12" customFormat="1" ht="12.75">
      <c r="A363" s="36"/>
      <c r="B363" s="13"/>
      <c r="C363" s="13"/>
      <c r="D363" s="23"/>
      <c r="E363" s="154"/>
      <c r="F363" s="52"/>
      <c r="G363" s="23"/>
      <c r="H363" s="23"/>
      <c r="I363" s="104"/>
      <c r="J363" s="23"/>
      <c r="K363" s="24"/>
      <c r="L363" s="23"/>
    </row>
    <row r="364" spans="1:12" s="12" customFormat="1" ht="12.75">
      <c r="A364" s="36"/>
      <c r="B364" s="13"/>
      <c r="C364" s="13"/>
      <c r="D364" s="23"/>
      <c r="E364" s="154"/>
      <c r="F364" s="52"/>
      <c r="G364" s="23"/>
      <c r="H364" s="23"/>
      <c r="I364" s="104"/>
      <c r="J364" s="23"/>
      <c r="K364" s="24"/>
      <c r="L364" s="23"/>
    </row>
    <row r="365" spans="1:12" s="12" customFormat="1" ht="12.75">
      <c r="A365" s="36"/>
      <c r="B365" s="13"/>
      <c r="C365" s="13"/>
      <c r="D365" s="23"/>
      <c r="E365" s="154"/>
      <c r="F365" s="52"/>
      <c r="G365" s="23"/>
      <c r="H365" s="23"/>
      <c r="I365" s="104"/>
      <c r="J365" s="23"/>
      <c r="K365" s="24"/>
      <c r="L365" s="23"/>
    </row>
    <row r="366" spans="1:12" s="12" customFormat="1" ht="12.75">
      <c r="A366" s="36"/>
      <c r="B366" s="13"/>
      <c r="C366" s="13"/>
      <c r="D366" s="23"/>
      <c r="E366" s="154"/>
      <c r="F366" s="52"/>
      <c r="G366" s="23"/>
      <c r="H366" s="23"/>
      <c r="I366" s="104"/>
      <c r="J366" s="23"/>
      <c r="K366" s="24"/>
      <c r="L366" s="23"/>
    </row>
    <row r="367" spans="1:12" s="12" customFormat="1" ht="12.75">
      <c r="A367" s="36"/>
      <c r="B367" s="13"/>
      <c r="C367" s="13"/>
      <c r="D367" s="23"/>
      <c r="E367" s="154"/>
      <c r="F367" s="52"/>
      <c r="G367" s="23"/>
      <c r="H367" s="23"/>
      <c r="I367" s="104"/>
      <c r="J367" s="23"/>
      <c r="K367" s="24"/>
      <c r="L367" s="23"/>
    </row>
    <row r="368" spans="1:12" s="12" customFormat="1" ht="12.75">
      <c r="A368" s="36"/>
      <c r="B368" s="13"/>
      <c r="C368" s="13"/>
      <c r="D368" s="23"/>
      <c r="E368" s="154"/>
      <c r="F368" s="52"/>
      <c r="G368" s="23"/>
      <c r="H368" s="23"/>
      <c r="I368" s="104"/>
      <c r="J368" s="23"/>
      <c r="K368" s="24"/>
      <c r="L368" s="23"/>
    </row>
    <row r="369" spans="1:12" s="12" customFormat="1" ht="12.75">
      <c r="A369" s="36"/>
      <c r="B369" s="13"/>
      <c r="C369" s="13"/>
      <c r="D369" s="23"/>
      <c r="E369" s="154"/>
      <c r="F369" s="52"/>
      <c r="G369" s="23"/>
      <c r="H369" s="23"/>
      <c r="I369" s="104"/>
      <c r="J369" s="23"/>
      <c r="K369" s="24"/>
      <c r="L369" s="23"/>
    </row>
    <row r="370" spans="1:12" s="12" customFormat="1" ht="12.75">
      <c r="A370" s="36"/>
      <c r="B370" s="13"/>
      <c r="C370" s="13"/>
      <c r="D370" s="23"/>
      <c r="E370" s="154"/>
      <c r="F370" s="52"/>
      <c r="G370" s="23"/>
      <c r="H370" s="23"/>
      <c r="I370" s="104"/>
      <c r="J370" s="23"/>
      <c r="K370" s="24"/>
      <c r="L370" s="23"/>
    </row>
    <row r="371" spans="1:12" s="12" customFormat="1" ht="12.75">
      <c r="A371" s="36"/>
      <c r="B371" s="13"/>
      <c r="C371" s="13"/>
      <c r="D371" s="23"/>
      <c r="E371" s="154"/>
      <c r="F371" s="52"/>
      <c r="G371" s="23"/>
      <c r="H371" s="23"/>
      <c r="I371" s="104"/>
      <c r="J371" s="23"/>
      <c r="K371" s="24"/>
      <c r="L371" s="23"/>
    </row>
    <row r="372" spans="1:12" s="12" customFormat="1" ht="12.75">
      <c r="A372" s="36"/>
      <c r="B372" s="13"/>
      <c r="C372" s="13"/>
      <c r="D372" s="23"/>
      <c r="E372" s="154"/>
      <c r="F372" s="52"/>
      <c r="G372" s="23"/>
      <c r="H372" s="23"/>
      <c r="I372" s="104"/>
      <c r="J372" s="23"/>
      <c r="K372" s="24"/>
      <c r="L372" s="23"/>
    </row>
    <row r="373" spans="1:12" s="12" customFormat="1" ht="12.75">
      <c r="A373" s="36"/>
      <c r="B373" s="13"/>
      <c r="C373" s="13"/>
      <c r="D373" s="23"/>
      <c r="E373" s="154"/>
      <c r="F373" s="52"/>
      <c r="G373" s="23"/>
      <c r="H373" s="23"/>
      <c r="I373" s="104"/>
      <c r="J373" s="23"/>
      <c r="K373" s="24"/>
      <c r="L373" s="23"/>
    </row>
    <row r="374" spans="1:12" s="12" customFormat="1" ht="12.75">
      <c r="A374" s="36"/>
      <c r="B374" s="13"/>
      <c r="C374" s="13"/>
      <c r="D374" s="23"/>
      <c r="E374" s="154"/>
      <c r="F374" s="52"/>
      <c r="G374" s="23"/>
      <c r="H374" s="23"/>
      <c r="I374" s="104"/>
      <c r="J374" s="23"/>
      <c r="K374" s="24"/>
      <c r="L374" s="23"/>
    </row>
    <row r="375" spans="1:12" s="12" customFormat="1" ht="12.75">
      <c r="A375" s="36"/>
      <c r="B375" s="13"/>
      <c r="C375" s="13"/>
      <c r="D375" s="23"/>
      <c r="E375" s="154"/>
      <c r="F375" s="52"/>
      <c r="G375" s="23"/>
      <c r="H375" s="23"/>
      <c r="I375" s="104"/>
      <c r="J375" s="23"/>
      <c r="K375" s="24"/>
      <c r="L375" s="23"/>
    </row>
    <row r="376" spans="4:12" ht="12.75">
      <c r="D376" s="23"/>
      <c r="E376" s="154"/>
      <c r="F376" s="52"/>
      <c r="G376" s="23"/>
      <c r="H376" s="23"/>
      <c r="I376" s="104"/>
      <c r="J376" s="23"/>
      <c r="K376" s="24"/>
      <c r="L376" s="23"/>
    </row>
    <row r="377" spans="4:12" ht="12.75">
      <c r="D377" s="23"/>
      <c r="E377" s="154"/>
      <c r="F377" s="52"/>
      <c r="G377" s="23"/>
      <c r="H377" s="23"/>
      <c r="I377" s="104"/>
      <c r="J377" s="23"/>
      <c r="K377" s="24"/>
      <c r="L377" s="23"/>
    </row>
    <row r="378" spans="4:12" ht="12.75">
      <c r="D378" s="23"/>
      <c r="E378" s="154"/>
      <c r="F378" s="52"/>
      <c r="G378" s="23"/>
      <c r="H378" s="23"/>
      <c r="I378" s="104"/>
      <c r="J378" s="23"/>
      <c r="K378" s="24"/>
      <c r="L378" s="23"/>
    </row>
    <row r="379" spans="4:12" ht="12.75">
      <c r="D379" s="23"/>
      <c r="E379" s="154"/>
      <c r="F379" s="52"/>
      <c r="G379" s="23"/>
      <c r="H379" s="23"/>
      <c r="I379" s="104"/>
      <c r="J379" s="23"/>
      <c r="K379" s="24"/>
      <c r="L379" s="23"/>
    </row>
    <row r="380" spans="4:12" ht="12.75">
      <c r="D380" s="23"/>
      <c r="E380" s="154"/>
      <c r="F380" s="52"/>
      <c r="G380" s="23"/>
      <c r="H380" s="23"/>
      <c r="I380" s="104"/>
      <c r="J380" s="23"/>
      <c r="K380" s="24"/>
      <c r="L380" s="23"/>
    </row>
    <row r="381" spans="4:12" ht="12.75">
      <c r="D381" s="23"/>
      <c r="E381" s="154"/>
      <c r="F381" s="52"/>
      <c r="G381" s="23"/>
      <c r="H381" s="23"/>
      <c r="I381" s="104"/>
      <c r="J381" s="23"/>
      <c r="K381" s="24"/>
      <c r="L381" s="23"/>
    </row>
    <row r="382" spans="4:12" ht="12.75">
      <c r="D382" s="23"/>
      <c r="E382" s="154"/>
      <c r="F382" s="52"/>
      <c r="G382" s="23"/>
      <c r="H382" s="23"/>
      <c r="I382" s="104"/>
      <c r="J382" s="23"/>
      <c r="K382" s="24"/>
      <c r="L382" s="23"/>
    </row>
  </sheetData>
  <sheetProtection/>
  <mergeCells count="27">
    <mergeCell ref="A43:B43"/>
    <mergeCell ref="A318:I318"/>
    <mergeCell ref="A294:B294"/>
    <mergeCell ref="A297:B298"/>
    <mergeCell ref="A300:B300"/>
    <mergeCell ref="A310:B313"/>
    <mergeCell ref="A304:C304"/>
    <mergeCell ref="A274:B275"/>
    <mergeCell ref="A207:B207"/>
    <mergeCell ref="A67:B68"/>
    <mergeCell ref="A3:L3"/>
    <mergeCell ref="A226:B226"/>
    <mergeCell ref="A12:B12"/>
    <mergeCell ref="A255:B255"/>
    <mergeCell ref="A51:B51"/>
    <mergeCell ref="A60:B60"/>
    <mergeCell ref="A228:B228"/>
    <mergeCell ref="A231:B231"/>
    <mergeCell ref="A222:B222"/>
    <mergeCell ref="A206:B206"/>
    <mergeCell ref="A248:B248"/>
    <mergeCell ref="A317:L317"/>
    <mergeCell ref="A303:C303"/>
    <mergeCell ref="A309:C309"/>
    <mergeCell ref="A305:B308"/>
    <mergeCell ref="A262:B262"/>
    <mergeCell ref="A316:L316"/>
  </mergeCells>
  <printOptions/>
  <pageMargins left="0.3937007874015748" right="0.31496062992125984" top="0.3937007874015748" bottom="0.15748031496062992" header="0.31496062992125984" footer="0.3937007874015748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334-2</cp:lastModifiedBy>
  <cp:lastPrinted>2012-11-12T14:37:24Z</cp:lastPrinted>
  <dcterms:created xsi:type="dcterms:W3CDTF">2002-03-11T10:22:12Z</dcterms:created>
  <dcterms:modified xsi:type="dcterms:W3CDTF">2012-11-15T05:10:01Z</dcterms:modified>
  <cp:category/>
  <cp:version/>
  <cp:contentType/>
  <cp:contentStatus/>
</cp:coreProperties>
</file>