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30" activeTab="0"/>
  </bookViews>
  <sheets>
    <sheet name="на 23.01.23" sheetId="1" r:id="rId1"/>
  </sheets>
  <definedNames>
    <definedName name="_xlfn.IFERROR" hidden="1">#NAME?</definedName>
    <definedName name="print" localSheetId="0">'на 23.01.23'!$3:$4</definedName>
    <definedName name="Print_Titles_0" localSheetId="0">'на 23.01.23'!$3:$4</definedName>
    <definedName name="Print_Titles_0_0" localSheetId="0">'на 23.01.23'!$3:$4</definedName>
    <definedName name="printti" localSheetId="0">'на 23.01.23'!$3:$4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23.01.23'!$3:$4</definedName>
    <definedName name="о">#REF!</definedName>
    <definedName name="_xlnm.Print_Area" localSheetId="0">'на 23.01.23'!$A$1:$Q$90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<sst xmlns="http://schemas.openxmlformats.org/spreadsheetml/2006/main" count="215" uniqueCount="174">
  <si>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</si>
  <si>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</si>
  <si>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</si>
  <si>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</si>
  <si>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</si>
  <si>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</si>
  <si>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% исполн. плана отч. периода</t>
  </si>
  <si>
    <t>% исполн. плана года</t>
  </si>
  <si>
    <t>факта отч.пер. от плана отч.пер.</t>
  </si>
  <si>
    <t>УФНС РФ по ПК</t>
  </si>
  <si>
    <t>НАЛОГОВЫЕ ДОХОДЫ</t>
  </si>
  <si>
    <t>100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</si>
  <si>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</si>
  <si>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</si>
  <si>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</si>
  <si>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</si>
  <si>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</si>
  <si>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</si>
  <si>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</si>
  <si>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</si>
  <si>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</si>
  <si>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</si>
  <si>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</si>
  <si>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</si>
  <si>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</si>
  <si>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</si>
  <si>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</si>
  <si>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</si>
  <si>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1 06 04011 00 0000 110</t>
  </si>
  <si>
    <t>1 06 04012 00 0000 110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</si>
  <si>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</si>
  <si>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</si>
  <si>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</si>
  <si>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</si>
  <si>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</si>
  <si>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</si>
  <si>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</si>
  <si>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</si>
  <si>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</si>
  <si>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</si>
  <si>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</si>
  <si>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</si>
  <si>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</si>
  <si>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</si>
  <si>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</si>
  <si>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</si>
  <si>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</si>
  <si>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</si>
  <si>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</si>
  <si>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</si>
  <si>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</si>
  <si>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</si>
  <si>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</si>
  <si>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</si>
  <si>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</si>
  <si>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</si>
  <si>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</si>
  <si>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</si>
  <si>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</si>
  <si>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</si>
  <si>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</si>
  <si>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</si>
  <si>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</si>
  <si>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</si>
  <si>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</si>
  <si>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</si>
  <si>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</si>
  <si>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</si>
  <si>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</si>
  <si>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</si>
  <si>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</si>
  <si>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</si>
  <si>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1 14 06024 04 0000 430</t>
  </si>
  <si>
    <t>Доходы от продажи земельных участков, находящихся в собственности городских округов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</si>
  <si>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</si>
  <si>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</si>
  <si>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</si>
  <si>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</si>
  <si>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</si>
  <si>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</si>
  <si>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</si>
  <si>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</si>
  <si>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</si>
  <si>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</si>
  <si>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</si>
  <si>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</si>
  <si>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</si>
  <si>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Плата за право заключения договоров о РЗТ</t>
  </si>
  <si>
    <t>915, 048</t>
  </si>
  <si>
    <t>Уэкол.</t>
  </si>
  <si>
    <t>1 12 00000 00 0000 120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</si>
  <si>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</si>
  <si>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</si>
  <si>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</si>
  <si>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</si>
  <si>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</si>
  <si>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</si>
  <si>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</si>
  <si>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</si>
  <si>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</si>
  <si>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</si>
  <si>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</si>
  <si>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</si>
  <si>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</si>
  <si>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</si>
  <si>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</si>
  <si>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</si>
  <si>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</si>
  <si>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</si>
  <si>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</si>
  <si>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</si>
  <si>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</si>
  <si>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</si>
  <si>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</si>
  <si>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</si>
  <si>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</si>
  <si>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</si>
  <si>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 xml:space="preserve">  </t>
  </si>
  <si>
    <t xml:space="preserve">ИТОГО ПО АДМИНИСТРАТОРАМ                          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</si>
  <si>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</si>
  <si>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</si>
  <si>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</si>
  <si>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</si>
  <si>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</si>
  <si>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</si>
  <si>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</si>
  <si>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</si>
  <si>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</si>
  <si>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</si>
  <si>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</si>
  <si>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</si>
  <si>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</si>
  <si>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</si>
  <si>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</si>
  <si>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</si>
  <si>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</si>
  <si>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</si>
  <si>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1 17 15020 04 0 000 150</t>
  </si>
  <si>
    <t xml:space="preserve">Инициативные платежи
</t>
  </si>
  <si>
    <t>1 11 05410 04 1000 120</t>
  </si>
  <si>
    <t>Транспортный налог с физических лиц</t>
  </si>
  <si>
    <t>Транспортный налог с организаций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</si>
  <si>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</si>
  <si>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</si>
  <si>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</si>
  <si>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</si>
  <si>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</si>
  <si>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</si>
  <si>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1 11 05024 04 1020 120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</si>
  <si>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</si>
  <si>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</si>
  <si>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</si>
  <si>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</si>
  <si>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</si>
  <si>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</si>
  <si>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>2 08 04 00 0 04 0 000 150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</si>
  <si>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</si>
  <si>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январь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</si>
  <si>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</si>
  <si>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</si>
  <si>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</si>
  <si>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</si>
  <si>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</si>
  <si>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факта января от плана января</t>
  </si>
  <si>
    <t>% факт 2023г./ факт 2022г.</t>
  </si>
  <si>
    <t>УСН</t>
  </si>
  <si>
    <t>январь-февраль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</si>
  <si>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</si>
  <si>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</si>
  <si>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</si>
  <si>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</si>
  <si>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</si>
  <si>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Факт с нач. 2022 года       по 20.01.2022</t>
  </si>
  <si>
    <t>с нач. года на 23.01.2023 (по 20.01. вкл.)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</si>
</sst>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45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top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4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166" fontId="4" fillId="0" borderId="11" xfId="0" applyNumberFormat="1" applyFont="1" applyFill="1" applyBorder="1" applyAlignment="1">
      <alignment vertical="center" wrapText="1"/>
    </xf>
    <xf numFmtId="166" fontId="7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0" xfId="134" applyFont="1" applyFill="1" applyBorder="1" applyAlignment="1" applyProtection="1">
      <alignment horizontal="center" vertical="center" wrapText="1"/>
      <protection/>
    </xf>
    <xf numFmtId="9" fontId="4" fillId="0" borderId="13" xfId="134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left" vertical="center" wrapText="1"/>
    </xf>
    <xf numFmtId="166" fontId="4" fillId="0" borderId="15" xfId="0" applyNumberFormat="1" applyFont="1" applyFill="1" applyBorder="1" applyAlignment="1">
      <alignment horizontal="left" vertical="center" wrapText="1"/>
    </xf>
    <xf numFmtId="166" fontId="4" fillId="0" borderId="16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</cellXfs>
  <cellStyles count="12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8" xfId="128"/>
    <cellStyle name="Обычный 9" xfId="129"/>
    <cellStyle name="Плохой" xfId="130"/>
    <cellStyle name="Пояснение" xfId="131"/>
    <cellStyle name="Примечание" xfId="132"/>
    <cellStyle name="Percent" xfId="133"/>
    <cellStyle name="Процентный 2" xfId="134"/>
    <cellStyle name="Процентный 2 2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Финансовый 3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85" zoomScaleNormal="85" zoomScaleSheetLayoutView="85" zoomScalePageLayoutView="0" workbookViewId="0" topLeftCell="A1">
      <pane xSplit="4" ySplit="4" topLeftCell="E6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96" sqref="I96"/>
    </sheetView>
  </sheetViews>
  <sheetFormatPr defaultColWidth="9.00390625" defaultRowHeight="12.75"/>
  <cols>
    <col min="1" max="1" width="8.375" style="1" customWidth="1"/>
    <col min="2" max="2" width="14.375" style="1" customWidth="1"/>
    <col min="3" max="3" width="22.125" style="48" hidden="1" customWidth="1"/>
    <col min="4" max="4" width="71.875" style="37" customWidth="1"/>
    <col min="5" max="5" width="15.625" style="50" customWidth="1"/>
    <col min="6" max="6" width="14.625" style="39" customWidth="1"/>
    <col min="7" max="7" width="14.625" style="39" hidden="1" customWidth="1"/>
    <col min="8" max="8" width="14.625" style="39" customWidth="1"/>
    <col min="9" max="9" width="15.00390625" style="39" customWidth="1"/>
    <col min="10" max="12" width="14.625" style="39" customWidth="1"/>
    <col min="13" max="14" width="14.625" style="39" hidden="1" customWidth="1"/>
    <col min="15" max="15" width="12.625" style="37" customWidth="1"/>
    <col min="16" max="16" width="12.625" style="38" customWidth="1"/>
    <col min="17" max="17" width="10.25390625" style="37" customWidth="1"/>
    <col min="18" max="19" width="14.125" style="1" customWidth="1"/>
    <col min="20" max="20" width="11.875" style="1" customWidth="1"/>
    <col min="21" max="16384" width="9.125" style="1" customWidth="1"/>
  </cols>
  <sheetData>
    <row r="1" spans="1:17" ht="20.25">
      <c r="A1" s="109" t="s">
        <v>159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20.25" customHeight="1">
      <c r="A2" s="62"/>
      <c r="B2" s="63"/>
      <c r="C2" s="64"/>
      <c r="D2" s="53"/>
      <c r="E2" s="52"/>
      <c r="F2" s="53"/>
      <c r="G2" s="53"/>
      <c r="H2" s="71"/>
      <c r="I2" s="71"/>
      <c r="J2" s="71"/>
      <c r="K2" s="53"/>
      <c r="L2" s="53"/>
      <c r="M2" s="53"/>
      <c r="N2" s="53"/>
      <c r="O2" s="53"/>
      <c r="P2" s="51" t="s">
        <v>0</v>
      </c>
      <c r="Q2" s="51" t="s">
        <v>0</v>
      </c>
    </row>
    <row r="3" spans="1:17" ht="20.25" customHeight="1">
      <c r="A3" s="110" t="s">
        <v>1</v>
      </c>
      <c r="B3" s="111" t="s">
        <v>2</v>
      </c>
      <c r="C3" s="112" t="s">
        <v>3</v>
      </c>
      <c r="D3" s="114" t="s">
        <v>4</v>
      </c>
      <c r="E3" s="116" t="s">
        <v>172</v>
      </c>
      <c r="F3" s="118" t="s">
        <v>158</v>
      </c>
      <c r="G3" s="119"/>
      <c r="H3" s="120"/>
      <c r="I3" s="118" t="s">
        <v>160</v>
      </c>
      <c r="J3" s="120"/>
      <c r="K3" s="118" t="s">
        <v>5</v>
      </c>
      <c r="L3" s="119"/>
      <c r="M3" s="119"/>
      <c r="N3" s="120"/>
      <c r="O3" s="121" t="s">
        <v>164</v>
      </c>
      <c r="P3" s="122" t="s">
        <v>6</v>
      </c>
      <c r="Q3" s="121" t="s">
        <v>7</v>
      </c>
    </row>
    <row r="4" spans="1:17" ht="63">
      <c r="A4" s="110"/>
      <c r="B4" s="111"/>
      <c r="C4" s="113"/>
      <c r="D4" s="115"/>
      <c r="E4" s="117"/>
      <c r="F4" s="2" t="s">
        <v>152</v>
      </c>
      <c r="G4" s="2" t="s">
        <v>166</v>
      </c>
      <c r="H4" s="2" t="s">
        <v>157</v>
      </c>
      <c r="I4" s="2" t="s">
        <v>173</v>
      </c>
      <c r="J4" s="2" t="s">
        <v>157</v>
      </c>
      <c r="K4" s="2" t="s">
        <v>161</v>
      </c>
      <c r="L4" s="2" t="s">
        <v>8</v>
      </c>
      <c r="M4" s="2" t="s">
        <v>162</v>
      </c>
      <c r="N4" s="2" t="s">
        <v>163</v>
      </c>
      <c r="O4" s="121"/>
      <c r="P4" s="123"/>
      <c r="Q4" s="121"/>
    </row>
    <row r="5" spans="1:17" s="3" customFormat="1" ht="31.5">
      <c r="A5" s="85"/>
      <c r="B5" s="86" t="s">
        <v>9</v>
      </c>
      <c r="C5" s="87"/>
      <c r="D5" s="88" t="s">
        <v>10</v>
      </c>
      <c r="E5" s="89">
        <f>E7+E19+E21+E23+E20+E22</f>
        <v>653959.98</v>
      </c>
      <c r="F5" s="90">
        <f>F7+F19+F21+F23+F20+F22</f>
        <v>19389290.400000006</v>
      </c>
      <c r="G5" s="90">
        <f>H5</f>
        <v>26818.5</v>
      </c>
      <c r="H5" s="90">
        <f>H7+H19+H21+H23+H20+H22</f>
        <v>26818.5</v>
      </c>
      <c r="I5" s="90">
        <f>I7+I19+I21+I23+I20+I22</f>
        <v>347626.39999999997</v>
      </c>
      <c r="J5" s="90">
        <f>J7+J19+J21+J23+J20+J22</f>
        <v>347626.39999999997</v>
      </c>
      <c r="K5" s="90">
        <f>I5-E5</f>
        <v>-306333.58</v>
      </c>
      <c r="L5" s="90">
        <f>I5-G5</f>
        <v>320807.89999999997</v>
      </c>
      <c r="M5" s="90">
        <f>I5-F5</f>
        <v>-19041664.000000007</v>
      </c>
      <c r="N5" s="90">
        <f aca="true" t="shared" si="0" ref="N5:N36">J5-H5</f>
        <v>320807.89999999997</v>
      </c>
      <c r="O5" s="91">
        <f aca="true" t="shared" si="1" ref="O5:O36">_xlfn.IFERROR(I5/E5,"")</f>
        <v>0.5315713661866587</v>
      </c>
      <c r="P5" s="91">
        <f>_xlfn.IFERROR(J5/H5,"")</f>
        <v>12.962186550329063</v>
      </c>
      <c r="Q5" s="91">
        <f aca="true" t="shared" si="2" ref="Q5:Q36">_xlfn.IFERROR(I5/F5,"")</f>
        <v>0.017928784026051817</v>
      </c>
    </row>
    <row r="6" spans="1:17" ht="15.75">
      <c r="A6" s="124" t="s">
        <v>11</v>
      </c>
      <c r="B6" s="125" t="s">
        <v>12</v>
      </c>
      <c r="C6" s="40" t="s">
        <v>13</v>
      </c>
      <c r="D6" s="4" t="s">
        <v>14</v>
      </c>
      <c r="E6" s="72">
        <v>1.3900000000000006</v>
      </c>
      <c r="F6" s="5">
        <v>80057.5</v>
      </c>
      <c r="G6" s="5">
        <f aca="true" t="shared" si="3" ref="G6:G69">H6</f>
        <v>6315</v>
      </c>
      <c r="H6" s="5">
        <v>6315</v>
      </c>
      <c r="I6" s="78">
        <v>0</v>
      </c>
      <c r="J6" s="78">
        <v>0</v>
      </c>
      <c r="K6" s="5">
        <f aca="true" t="shared" si="4" ref="K6:K37">I6-E6</f>
        <v>-1.3900000000000006</v>
      </c>
      <c r="L6" s="5">
        <f aca="true" t="shared" si="5" ref="L6:L37">I6-G6</f>
        <v>-6315</v>
      </c>
      <c r="M6" s="5">
        <f aca="true" t="shared" si="6" ref="M6:M37">I6-F6</f>
        <v>-80057.5</v>
      </c>
      <c r="N6" s="5">
        <f t="shared" si="0"/>
        <v>-6315</v>
      </c>
      <c r="O6" s="6">
        <f t="shared" si="1"/>
        <v>0</v>
      </c>
      <c r="P6" s="6">
        <f aca="true" t="shared" si="7" ref="P6:P69">_xlfn.IFERROR(J6/H6,"")</f>
        <v>0</v>
      </c>
      <c r="Q6" s="6">
        <f t="shared" si="2"/>
        <v>0</v>
      </c>
    </row>
    <row r="7" spans="1:17" s="7" customFormat="1" ht="15.75">
      <c r="A7" s="124"/>
      <c r="B7" s="125"/>
      <c r="C7" s="92"/>
      <c r="D7" s="93" t="s">
        <v>15</v>
      </c>
      <c r="E7" s="94">
        <f>SUM(E6)</f>
        <v>1.3900000000000006</v>
      </c>
      <c r="F7" s="55">
        <f>SUM(F6)</f>
        <v>80057.5</v>
      </c>
      <c r="G7" s="55">
        <f t="shared" si="3"/>
        <v>6315</v>
      </c>
      <c r="H7" s="55">
        <f>SUM(H6)</f>
        <v>6315</v>
      </c>
      <c r="I7" s="55">
        <f>SUM(I6)</f>
        <v>0</v>
      </c>
      <c r="J7" s="55">
        <f>SUM(J6)</f>
        <v>0</v>
      </c>
      <c r="K7" s="55">
        <f t="shared" si="4"/>
        <v>-1.3900000000000006</v>
      </c>
      <c r="L7" s="55">
        <f t="shared" si="5"/>
        <v>-6315</v>
      </c>
      <c r="M7" s="55">
        <f t="shared" si="6"/>
        <v>-80057.5</v>
      </c>
      <c r="N7" s="55">
        <f t="shared" si="0"/>
        <v>-6315</v>
      </c>
      <c r="O7" s="56">
        <f t="shared" si="1"/>
        <v>0</v>
      </c>
      <c r="P7" s="56">
        <f t="shared" si="7"/>
        <v>0</v>
      </c>
      <c r="Q7" s="56">
        <f t="shared" si="2"/>
        <v>0</v>
      </c>
    </row>
    <row r="8" spans="1:17" ht="15.75">
      <c r="A8" s="124" t="s">
        <v>16</v>
      </c>
      <c r="B8" s="106" t="s">
        <v>17</v>
      </c>
      <c r="C8" s="40" t="s">
        <v>18</v>
      </c>
      <c r="D8" s="8" t="s">
        <v>19</v>
      </c>
      <c r="E8" s="73">
        <v>568701.0900000001</v>
      </c>
      <c r="F8" s="9">
        <v>14235121.900000002</v>
      </c>
      <c r="G8" s="9">
        <f t="shared" si="3"/>
        <v>-22923.5</v>
      </c>
      <c r="H8" s="9">
        <v>-22923.5</v>
      </c>
      <c r="I8" s="72">
        <f>151599.91-1317.68</f>
        <v>150282.23</v>
      </c>
      <c r="J8" s="72">
        <f>151599.91-1317.68</f>
        <v>150282.23</v>
      </c>
      <c r="K8" s="9">
        <f t="shared" si="4"/>
        <v>-418418.8600000001</v>
      </c>
      <c r="L8" s="9">
        <f t="shared" si="5"/>
        <v>173205.73</v>
      </c>
      <c r="M8" s="9">
        <f t="shared" si="6"/>
        <v>-14084839.670000002</v>
      </c>
      <c r="N8" s="9">
        <f t="shared" si="0"/>
        <v>173205.73</v>
      </c>
      <c r="O8" s="6">
        <f t="shared" si="1"/>
        <v>0.26425521709480104</v>
      </c>
      <c r="P8" s="6">
        <f t="shared" si="7"/>
        <v>-6.5558152114642185</v>
      </c>
      <c r="Q8" s="6">
        <f t="shared" si="2"/>
        <v>0.01055714387665342</v>
      </c>
    </row>
    <row r="9" spans="1:17" ht="15.75">
      <c r="A9" s="126"/>
      <c r="B9" s="106" t="s">
        <v>17</v>
      </c>
      <c r="C9" s="75" t="s">
        <v>167</v>
      </c>
      <c r="D9" s="76" t="s">
        <v>165</v>
      </c>
      <c r="E9" s="73"/>
      <c r="F9" s="73">
        <v>1204375.9</v>
      </c>
      <c r="G9" s="73">
        <f t="shared" si="3"/>
        <v>0</v>
      </c>
      <c r="H9" s="73"/>
      <c r="I9" s="72">
        <f>3027.19-762.38</f>
        <v>2264.81</v>
      </c>
      <c r="J9" s="72">
        <f>3027.19-762.38</f>
        <v>2264.81</v>
      </c>
      <c r="K9" s="9">
        <f>I9-E9</f>
        <v>2264.81</v>
      </c>
      <c r="L9" s="9">
        <f>I9-G9</f>
        <v>2264.81</v>
      </c>
      <c r="M9" s="9">
        <f>I9-F9</f>
        <v>-1202111.0899999999</v>
      </c>
      <c r="N9" s="9">
        <f t="shared" si="0"/>
        <v>2264.81</v>
      </c>
      <c r="O9" s="6">
        <f t="shared" si="1"/>
      </c>
      <c r="P9" s="6">
        <f t="shared" si="7"/>
      </c>
      <c r="Q9" s="6">
        <f t="shared" si="2"/>
        <v>0.001880484323872638</v>
      </c>
    </row>
    <row r="10" spans="1:17" ht="15.75">
      <c r="A10" s="124"/>
      <c r="B10" s="106" t="s">
        <v>17</v>
      </c>
      <c r="C10" s="40" t="s">
        <v>20</v>
      </c>
      <c r="D10" s="8" t="s">
        <v>21</v>
      </c>
      <c r="E10" s="73">
        <v>7.79</v>
      </c>
      <c r="F10" s="9"/>
      <c r="G10" s="9">
        <f t="shared" si="3"/>
        <v>0</v>
      </c>
      <c r="H10" s="9"/>
      <c r="I10" s="78">
        <f>368.79+0.02</f>
        <v>368.81</v>
      </c>
      <c r="J10" s="78">
        <f>368.79+0.02</f>
        <v>368.81</v>
      </c>
      <c r="K10" s="9">
        <f t="shared" si="4"/>
        <v>361.02</v>
      </c>
      <c r="L10" s="9">
        <f>I10-G10</f>
        <v>368.81</v>
      </c>
      <c r="M10" s="9">
        <f t="shared" si="6"/>
        <v>368.81</v>
      </c>
      <c r="N10" s="9">
        <f t="shared" si="0"/>
        <v>368.81</v>
      </c>
      <c r="O10" s="6">
        <f t="shared" si="1"/>
        <v>47.34403080872914</v>
      </c>
      <c r="P10" s="6">
        <f t="shared" si="7"/>
      </c>
      <c r="Q10" s="6">
        <f t="shared" si="2"/>
      </c>
    </row>
    <row r="11" spans="1:17" ht="15.75">
      <c r="A11" s="124"/>
      <c r="B11" s="106" t="s">
        <v>17</v>
      </c>
      <c r="C11" s="40" t="s">
        <v>22</v>
      </c>
      <c r="D11" s="8" t="s">
        <v>23</v>
      </c>
      <c r="E11" s="73">
        <v>40</v>
      </c>
      <c r="F11" s="9">
        <v>4690.3</v>
      </c>
      <c r="G11" s="9">
        <f t="shared" si="3"/>
        <v>0</v>
      </c>
      <c r="H11" s="9"/>
      <c r="I11" s="79">
        <v>0.1</v>
      </c>
      <c r="J11" s="79">
        <v>0.1</v>
      </c>
      <c r="K11" s="9">
        <f t="shared" si="4"/>
        <v>-39.9</v>
      </c>
      <c r="L11" s="9">
        <f t="shared" si="5"/>
        <v>0.1</v>
      </c>
      <c r="M11" s="9">
        <f t="shared" si="6"/>
        <v>-4690.2</v>
      </c>
      <c r="N11" s="9">
        <f t="shared" si="0"/>
        <v>0.1</v>
      </c>
      <c r="O11" s="6">
        <f t="shared" si="1"/>
        <v>0.0025</v>
      </c>
      <c r="P11" s="6">
        <f t="shared" si="7"/>
      </c>
      <c r="Q11" s="6">
        <f t="shared" si="2"/>
        <v>2.1320597829563142E-05</v>
      </c>
    </row>
    <row r="12" spans="1:17" ht="15.75">
      <c r="A12" s="124"/>
      <c r="B12" s="106" t="s">
        <v>17</v>
      </c>
      <c r="C12" s="40" t="s">
        <v>24</v>
      </c>
      <c r="D12" s="8" t="s">
        <v>169</v>
      </c>
      <c r="E12" s="73">
        <v>11837.23</v>
      </c>
      <c r="F12" s="9">
        <v>314766.5</v>
      </c>
      <c r="G12" s="9">
        <f t="shared" si="3"/>
        <v>0</v>
      </c>
      <c r="H12" s="9"/>
      <c r="I12" s="79">
        <f>150061.15+689.95</f>
        <v>150751.1</v>
      </c>
      <c r="J12" s="79">
        <f>150061.15+689.95</f>
        <v>150751.1</v>
      </c>
      <c r="K12" s="9">
        <f t="shared" si="4"/>
        <v>138913.87</v>
      </c>
      <c r="L12" s="9">
        <f t="shared" si="5"/>
        <v>150751.1</v>
      </c>
      <c r="M12" s="9">
        <f t="shared" si="6"/>
        <v>-164015.4</v>
      </c>
      <c r="N12" s="9">
        <f t="shared" si="0"/>
        <v>150751.1</v>
      </c>
      <c r="O12" s="6">
        <f t="shared" si="1"/>
        <v>12.735335885169082</v>
      </c>
      <c r="P12" s="6">
        <f t="shared" si="7"/>
      </c>
      <c r="Q12" s="6">
        <f t="shared" si="2"/>
        <v>0.47892993695326536</v>
      </c>
    </row>
    <row r="13" spans="1:17" ht="15.75">
      <c r="A13" s="124"/>
      <c r="B13" s="106" t="s">
        <v>25</v>
      </c>
      <c r="C13" s="40" t="s">
        <v>26</v>
      </c>
      <c r="D13" s="8" t="s">
        <v>27</v>
      </c>
      <c r="E13" s="73">
        <v>16884.5</v>
      </c>
      <c r="F13" s="9">
        <v>1083466.2</v>
      </c>
      <c r="G13" s="9">
        <f t="shared" si="3"/>
        <v>21200</v>
      </c>
      <c r="H13" s="9">
        <v>21200</v>
      </c>
      <c r="I13" s="79">
        <f>29994.24+716.99</f>
        <v>30711.230000000003</v>
      </c>
      <c r="J13" s="79">
        <f>29994.24+716.99</f>
        <v>30711.230000000003</v>
      </c>
      <c r="K13" s="9">
        <f t="shared" si="4"/>
        <v>13826.730000000003</v>
      </c>
      <c r="L13" s="9">
        <f t="shared" si="5"/>
        <v>9511.230000000003</v>
      </c>
      <c r="M13" s="9">
        <f t="shared" si="6"/>
        <v>-1052754.97</v>
      </c>
      <c r="N13" s="9">
        <f t="shared" si="0"/>
        <v>9511.230000000003</v>
      </c>
      <c r="O13" s="6">
        <f t="shared" si="1"/>
        <v>1.8189007669756287</v>
      </c>
      <c r="P13" s="6">
        <f t="shared" si="7"/>
        <v>1.4486429245283021</v>
      </c>
      <c r="Q13" s="6">
        <f t="shared" si="2"/>
        <v>0.0283453512439982</v>
      </c>
    </row>
    <row r="14" spans="1:17" ht="15.75">
      <c r="A14" s="124"/>
      <c r="B14" s="106" t="s">
        <v>116</v>
      </c>
      <c r="C14" s="40" t="s">
        <v>28</v>
      </c>
      <c r="D14" s="8" t="s">
        <v>141</v>
      </c>
      <c r="E14" s="73">
        <v>2295.8300000000004</v>
      </c>
      <c r="F14" s="9"/>
      <c r="G14" s="9">
        <f t="shared" si="3"/>
        <v>0</v>
      </c>
      <c r="H14" s="9"/>
      <c r="I14" s="79">
        <v>0</v>
      </c>
      <c r="J14" s="79">
        <v>0</v>
      </c>
      <c r="K14" s="9">
        <f t="shared" si="4"/>
        <v>-2295.8300000000004</v>
      </c>
      <c r="L14" s="9">
        <f t="shared" si="5"/>
        <v>0</v>
      </c>
      <c r="M14" s="9">
        <f t="shared" si="6"/>
        <v>0</v>
      </c>
      <c r="N14" s="9">
        <f t="shared" si="0"/>
        <v>0</v>
      </c>
      <c r="O14" s="6">
        <f t="shared" si="1"/>
        <v>0</v>
      </c>
      <c r="P14" s="6">
        <f t="shared" si="7"/>
      </c>
      <c r="Q14" s="6">
        <f t="shared" si="2"/>
      </c>
    </row>
    <row r="15" spans="1:17" ht="15.75">
      <c r="A15" s="124"/>
      <c r="B15" s="106" t="s">
        <v>116</v>
      </c>
      <c r="C15" s="40" t="s">
        <v>29</v>
      </c>
      <c r="D15" s="8" t="s">
        <v>140</v>
      </c>
      <c r="E15" s="73">
        <v>34622.46</v>
      </c>
      <c r="F15" s="9"/>
      <c r="G15" s="9">
        <f t="shared" si="3"/>
        <v>0</v>
      </c>
      <c r="H15" s="9"/>
      <c r="I15" s="79">
        <v>0</v>
      </c>
      <c r="J15" s="79">
        <v>0</v>
      </c>
      <c r="K15" s="9">
        <f t="shared" si="4"/>
        <v>-34622.46</v>
      </c>
      <c r="L15" s="9">
        <f t="shared" si="5"/>
        <v>0</v>
      </c>
      <c r="M15" s="9">
        <f t="shared" si="6"/>
        <v>0</v>
      </c>
      <c r="N15" s="9">
        <f t="shared" si="0"/>
        <v>0</v>
      </c>
      <c r="O15" s="6">
        <f t="shared" si="1"/>
        <v>0</v>
      </c>
      <c r="P15" s="6">
        <f t="shared" si="7"/>
      </c>
      <c r="Q15" s="6">
        <f t="shared" si="2"/>
      </c>
    </row>
    <row r="16" spans="1:17" ht="15.75">
      <c r="A16" s="124"/>
      <c r="B16" s="106" t="s">
        <v>25</v>
      </c>
      <c r="C16" s="40" t="s">
        <v>30</v>
      </c>
      <c r="D16" s="8" t="s">
        <v>31</v>
      </c>
      <c r="E16" s="73">
        <v>14011.369999999999</v>
      </c>
      <c r="F16" s="9">
        <v>2237196.9</v>
      </c>
      <c r="G16" s="9">
        <f t="shared" si="3"/>
        <v>9300</v>
      </c>
      <c r="H16" s="9">
        <v>9300</v>
      </c>
      <c r="I16" s="79">
        <f>8852.16+318.76</f>
        <v>9170.92</v>
      </c>
      <c r="J16" s="79">
        <f>8852.16+318.76</f>
        <v>9170.92</v>
      </c>
      <c r="K16" s="9">
        <f t="shared" si="4"/>
        <v>-4840.449999999999</v>
      </c>
      <c r="L16" s="9">
        <f t="shared" si="5"/>
        <v>-129.07999999999993</v>
      </c>
      <c r="M16" s="9">
        <f t="shared" si="6"/>
        <v>-2228025.98</v>
      </c>
      <c r="N16" s="9">
        <f t="shared" si="0"/>
        <v>-129.07999999999993</v>
      </c>
      <c r="O16" s="6">
        <f t="shared" si="1"/>
        <v>0.6545341390599206</v>
      </c>
      <c r="P16" s="6">
        <f t="shared" si="7"/>
        <v>0.9861204301075269</v>
      </c>
      <c r="Q16" s="6">
        <f t="shared" si="2"/>
        <v>0.0040992905005366315</v>
      </c>
    </row>
    <row r="17" spans="1:17" ht="15.75">
      <c r="A17" s="124"/>
      <c r="B17" s="106" t="s">
        <v>32</v>
      </c>
      <c r="C17" s="40" t="s">
        <v>33</v>
      </c>
      <c r="D17" s="8" t="s">
        <v>34</v>
      </c>
      <c r="E17" s="73">
        <v>5553.660000000001</v>
      </c>
      <c r="F17" s="9">
        <v>228385.6</v>
      </c>
      <c r="G17" s="9">
        <f t="shared" si="3"/>
        <v>12850</v>
      </c>
      <c r="H17" s="9">
        <v>12850</v>
      </c>
      <c r="I17" s="73">
        <f>3683.31+354.49</f>
        <v>4037.8</v>
      </c>
      <c r="J17" s="73">
        <f>3683.31+354.49</f>
        <v>4037.8</v>
      </c>
      <c r="K17" s="9">
        <f t="shared" si="4"/>
        <v>-1515.8600000000006</v>
      </c>
      <c r="L17" s="9">
        <f t="shared" si="5"/>
        <v>-8812.2</v>
      </c>
      <c r="M17" s="9">
        <f t="shared" si="6"/>
        <v>-224347.80000000002</v>
      </c>
      <c r="N17" s="9">
        <f t="shared" si="0"/>
        <v>-8812.2</v>
      </c>
      <c r="O17" s="6">
        <f t="shared" si="1"/>
        <v>0.7270520701663407</v>
      </c>
      <c r="P17" s="6">
        <f t="shared" si="7"/>
        <v>0.31422568093385217</v>
      </c>
      <c r="Q17" s="6">
        <f t="shared" si="2"/>
        <v>0.017679748635640775</v>
      </c>
    </row>
    <row r="18" spans="1:17" ht="15.75">
      <c r="A18" s="124"/>
      <c r="B18" s="106" t="s">
        <v>25</v>
      </c>
      <c r="C18" s="40" t="s">
        <v>35</v>
      </c>
      <c r="D18" s="8" t="s">
        <v>36</v>
      </c>
      <c r="E18" s="73">
        <v>-58.54</v>
      </c>
      <c r="F18" s="9"/>
      <c r="G18" s="9">
        <f t="shared" si="3"/>
        <v>0</v>
      </c>
      <c r="H18" s="9"/>
      <c r="I18" s="104">
        <v>0</v>
      </c>
      <c r="J18" s="104">
        <v>0</v>
      </c>
      <c r="K18" s="9">
        <f t="shared" si="4"/>
        <v>58.54</v>
      </c>
      <c r="L18" s="9">
        <f t="shared" si="5"/>
        <v>0</v>
      </c>
      <c r="M18" s="9">
        <f t="shared" si="6"/>
        <v>0</v>
      </c>
      <c r="N18" s="9">
        <f t="shared" si="0"/>
        <v>0</v>
      </c>
      <c r="O18" s="6">
        <f t="shared" si="1"/>
        <v>0</v>
      </c>
      <c r="P18" s="6">
        <f t="shared" si="7"/>
      </c>
      <c r="Q18" s="6">
        <f t="shared" si="2"/>
      </c>
    </row>
    <row r="19" spans="1:17" s="7" customFormat="1" ht="15.75">
      <c r="A19" s="124"/>
      <c r="B19" s="95"/>
      <c r="C19" s="92"/>
      <c r="D19" s="96" t="s">
        <v>15</v>
      </c>
      <c r="E19" s="94">
        <f>SUM(E8:E18)</f>
        <v>653895.39</v>
      </c>
      <c r="F19" s="55">
        <f>SUM(F8:F18)</f>
        <v>19308003.300000004</v>
      </c>
      <c r="G19" s="55">
        <f t="shared" si="3"/>
        <v>20426.5</v>
      </c>
      <c r="H19" s="55">
        <f>SUM(H8:H18)</f>
        <v>20426.5</v>
      </c>
      <c r="I19" s="55">
        <f>SUM(I8:I18)</f>
        <v>347587</v>
      </c>
      <c r="J19" s="55">
        <f>SUM(J8:J18)</f>
        <v>347587</v>
      </c>
      <c r="K19" s="55">
        <f t="shared" si="4"/>
        <v>-306308.39</v>
      </c>
      <c r="L19" s="55">
        <f t="shared" si="5"/>
        <v>327160.5</v>
      </c>
      <c r="M19" s="55">
        <f t="shared" si="6"/>
        <v>-18960416.300000004</v>
      </c>
      <c r="N19" s="55">
        <f t="shared" si="0"/>
        <v>327160.5</v>
      </c>
      <c r="O19" s="56">
        <f t="shared" si="1"/>
        <v>0.5315636190675698</v>
      </c>
      <c r="P19" s="56">
        <f t="shared" si="7"/>
        <v>17.016473698382004</v>
      </c>
      <c r="Q19" s="56">
        <f t="shared" si="2"/>
        <v>0.018002223979317424</v>
      </c>
    </row>
    <row r="20" spans="1:17" ht="15.75">
      <c r="A20" s="105" t="s">
        <v>113</v>
      </c>
      <c r="B20" s="106" t="s">
        <v>38</v>
      </c>
      <c r="C20" s="40" t="s">
        <v>40</v>
      </c>
      <c r="D20" s="8" t="s">
        <v>41</v>
      </c>
      <c r="E20" s="73">
        <v>4</v>
      </c>
      <c r="F20" s="9">
        <v>140</v>
      </c>
      <c r="G20" s="9">
        <f t="shared" si="3"/>
        <v>10</v>
      </c>
      <c r="H20" s="9">
        <v>10</v>
      </c>
      <c r="I20" s="77">
        <v>4</v>
      </c>
      <c r="J20" s="77">
        <v>4</v>
      </c>
      <c r="K20" s="9">
        <f t="shared" si="4"/>
        <v>0</v>
      </c>
      <c r="L20" s="9">
        <f t="shared" si="5"/>
        <v>-6</v>
      </c>
      <c r="M20" s="9">
        <f t="shared" si="6"/>
        <v>-136</v>
      </c>
      <c r="N20" s="9">
        <f t="shared" si="0"/>
        <v>-6</v>
      </c>
      <c r="O20" s="6">
        <f t="shared" si="1"/>
        <v>1</v>
      </c>
      <c r="P20" s="6">
        <f t="shared" si="7"/>
        <v>0.4</v>
      </c>
      <c r="Q20" s="6">
        <f t="shared" si="2"/>
        <v>0.02857142857142857</v>
      </c>
    </row>
    <row r="21" spans="1:19" ht="25.5">
      <c r="A21" s="105" t="s">
        <v>37</v>
      </c>
      <c r="B21" s="106" t="s">
        <v>38</v>
      </c>
      <c r="C21" s="40" t="s">
        <v>39</v>
      </c>
      <c r="D21" s="8" t="s">
        <v>168</v>
      </c>
      <c r="E21" s="73"/>
      <c r="F21" s="9"/>
      <c r="G21" s="9">
        <f t="shared" si="3"/>
        <v>0</v>
      </c>
      <c r="H21" s="9"/>
      <c r="I21" s="77">
        <v>4.8</v>
      </c>
      <c r="J21" s="77">
        <v>4.8</v>
      </c>
      <c r="K21" s="9">
        <f t="shared" si="4"/>
        <v>4.8</v>
      </c>
      <c r="L21" s="9">
        <f t="shared" si="5"/>
        <v>4.8</v>
      </c>
      <c r="M21" s="9">
        <f t="shared" si="6"/>
        <v>4.8</v>
      </c>
      <c r="N21" s="9">
        <f t="shared" si="0"/>
        <v>4.8</v>
      </c>
      <c r="O21" s="6">
        <f t="shared" si="1"/>
      </c>
      <c r="P21" s="6">
        <f t="shared" si="7"/>
      </c>
      <c r="Q21" s="6">
        <f t="shared" si="2"/>
      </c>
      <c r="S21" s="68"/>
    </row>
    <row r="22" spans="1:17" ht="31.5">
      <c r="A22" s="107" t="s">
        <v>44</v>
      </c>
      <c r="B22" s="108" t="s">
        <v>115</v>
      </c>
      <c r="C22" s="40" t="s">
        <v>45</v>
      </c>
      <c r="D22" s="8" t="s">
        <v>46</v>
      </c>
      <c r="E22" s="73">
        <v>59.2</v>
      </c>
      <c r="F22" s="9">
        <v>969.6</v>
      </c>
      <c r="G22" s="9">
        <f t="shared" si="3"/>
        <v>67</v>
      </c>
      <c r="H22" s="9">
        <v>67</v>
      </c>
      <c r="I22" s="77">
        <v>25.6</v>
      </c>
      <c r="J22" s="77">
        <v>25.6</v>
      </c>
      <c r="K22" s="9">
        <f t="shared" si="4"/>
        <v>-33.6</v>
      </c>
      <c r="L22" s="9">
        <f t="shared" si="5"/>
        <v>-41.4</v>
      </c>
      <c r="M22" s="9">
        <f t="shared" si="6"/>
        <v>-944</v>
      </c>
      <c r="N22" s="9">
        <f t="shared" si="0"/>
        <v>-41.4</v>
      </c>
      <c r="O22" s="6">
        <f t="shared" si="1"/>
        <v>0.43243243243243246</v>
      </c>
      <c r="P22" s="6">
        <f t="shared" si="7"/>
        <v>0.382089552238806</v>
      </c>
      <c r="Q22" s="6">
        <f t="shared" si="2"/>
        <v>0.026402640264026403</v>
      </c>
    </row>
    <row r="23" spans="1:17" ht="15.75">
      <c r="A23" s="105" t="s">
        <v>42</v>
      </c>
      <c r="B23" s="106" t="s">
        <v>17</v>
      </c>
      <c r="C23" s="40" t="s">
        <v>43</v>
      </c>
      <c r="D23" s="8" t="s">
        <v>119</v>
      </c>
      <c r="E23" s="73"/>
      <c r="F23" s="9">
        <v>120</v>
      </c>
      <c r="G23" s="9">
        <f t="shared" si="3"/>
        <v>0</v>
      </c>
      <c r="H23" s="9"/>
      <c r="I23" s="77">
        <v>5</v>
      </c>
      <c r="J23" s="77">
        <v>5</v>
      </c>
      <c r="K23" s="9">
        <f t="shared" si="4"/>
        <v>5</v>
      </c>
      <c r="L23" s="9">
        <f t="shared" si="5"/>
        <v>5</v>
      </c>
      <c r="M23" s="9">
        <f t="shared" si="6"/>
        <v>-115</v>
      </c>
      <c r="N23" s="9">
        <f t="shared" si="0"/>
        <v>5</v>
      </c>
      <c r="O23" s="6">
        <f t="shared" si="1"/>
      </c>
      <c r="P23" s="6">
        <f t="shared" si="7"/>
      </c>
      <c r="Q23" s="6">
        <f t="shared" si="2"/>
        <v>0.041666666666666664</v>
      </c>
    </row>
    <row r="24" spans="1:17" s="3" customFormat="1" ht="15.75">
      <c r="A24" s="127"/>
      <c r="B24" s="127"/>
      <c r="C24" s="127"/>
      <c r="D24" s="97" t="s">
        <v>47</v>
      </c>
      <c r="E24" s="90">
        <f>E28+E31+E39+E49+E51+E57+E61+E63+E74</f>
        <v>236684.06999999998</v>
      </c>
      <c r="F24" s="90">
        <f>F28+F31+F39+F49+F51+F57+F61+F63+F74</f>
        <v>5922497.3</v>
      </c>
      <c r="G24" s="90">
        <f t="shared" si="3"/>
        <v>341438</v>
      </c>
      <c r="H24" s="90">
        <f>H28+H31+H39+H49+H51+H57+H61+H63+H74</f>
        <v>341438</v>
      </c>
      <c r="I24" s="90">
        <f>I28+I31+I39+I49+I51+I57+I61+I63+I74</f>
        <v>339784.00000000006</v>
      </c>
      <c r="J24" s="90">
        <f>J28+J31+J39+J49+J51+J57+J61+J63+J74</f>
        <v>339784.00000000006</v>
      </c>
      <c r="K24" s="90">
        <f t="shared" si="4"/>
        <v>103099.93000000008</v>
      </c>
      <c r="L24" s="90">
        <f t="shared" si="5"/>
        <v>-1653.9999999999418</v>
      </c>
      <c r="M24" s="90">
        <f t="shared" si="6"/>
        <v>-5582713.3</v>
      </c>
      <c r="N24" s="90">
        <f t="shared" si="0"/>
        <v>-1653.9999999999418</v>
      </c>
      <c r="O24" s="91">
        <f t="shared" si="1"/>
        <v>1.4356014749957615</v>
      </c>
      <c r="P24" s="91">
        <f t="shared" si="7"/>
        <v>0.9951557823089406</v>
      </c>
      <c r="Q24" s="91">
        <f t="shared" si="2"/>
        <v>0.057371744179604785</v>
      </c>
    </row>
    <row r="25" spans="1:17" s="13" customFormat="1" ht="15.75">
      <c r="A25" s="128" t="s">
        <v>44</v>
      </c>
      <c r="B25" s="131" t="s">
        <v>115</v>
      </c>
      <c r="C25" s="41" t="s">
        <v>80</v>
      </c>
      <c r="D25" s="10" t="s">
        <v>170</v>
      </c>
      <c r="E25" s="11">
        <v>3779.42</v>
      </c>
      <c r="F25" s="11">
        <v>135475.5</v>
      </c>
      <c r="G25" s="11">
        <f t="shared" si="3"/>
        <v>7200</v>
      </c>
      <c r="H25" s="11">
        <v>7200</v>
      </c>
      <c r="I25" s="77">
        <v>5382.09</v>
      </c>
      <c r="J25" s="77">
        <v>5382.09</v>
      </c>
      <c r="K25" s="11">
        <f t="shared" si="4"/>
        <v>1602.67</v>
      </c>
      <c r="L25" s="11">
        <f t="shared" si="5"/>
        <v>-1817.9099999999999</v>
      </c>
      <c r="M25" s="11">
        <f t="shared" si="6"/>
        <v>-130093.41</v>
      </c>
      <c r="N25" s="11">
        <f t="shared" si="0"/>
        <v>-1817.9099999999999</v>
      </c>
      <c r="O25" s="12">
        <f t="shared" si="1"/>
        <v>1.424051838641908</v>
      </c>
      <c r="P25" s="12">
        <f t="shared" si="7"/>
        <v>0.7475125</v>
      </c>
      <c r="Q25" s="12">
        <f t="shared" si="2"/>
        <v>0.03972740458606907</v>
      </c>
    </row>
    <row r="26" spans="1:17" s="13" customFormat="1" ht="15.75">
      <c r="A26" s="129"/>
      <c r="B26" s="132"/>
      <c r="C26" s="40" t="s">
        <v>48</v>
      </c>
      <c r="D26" s="10" t="s">
        <v>49</v>
      </c>
      <c r="E26" s="16"/>
      <c r="F26" s="9">
        <v>31937.8</v>
      </c>
      <c r="G26" s="9">
        <f t="shared" si="3"/>
        <v>0</v>
      </c>
      <c r="H26" s="9"/>
      <c r="I26" s="25">
        <v>0</v>
      </c>
      <c r="J26" s="25">
        <v>0</v>
      </c>
      <c r="K26" s="9">
        <f t="shared" si="4"/>
        <v>0</v>
      </c>
      <c r="L26" s="9">
        <f t="shared" si="5"/>
        <v>0</v>
      </c>
      <c r="M26" s="9">
        <f t="shared" si="6"/>
        <v>-31937.8</v>
      </c>
      <c r="N26" s="9">
        <f t="shared" si="0"/>
        <v>0</v>
      </c>
      <c r="O26" s="12">
        <f t="shared" si="1"/>
      </c>
      <c r="P26" s="12">
        <f t="shared" si="7"/>
      </c>
      <c r="Q26" s="12">
        <f t="shared" si="2"/>
        <v>0</v>
      </c>
    </row>
    <row r="27" spans="1:17" s="13" customFormat="1" ht="15.75">
      <c r="A27" s="129"/>
      <c r="B27" s="132"/>
      <c r="C27" s="40" t="s">
        <v>81</v>
      </c>
      <c r="D27" s="10" t="s">
        <v>82</v>
      </c>
      <c r="E27" s="11">
        <v>3383.9900000000002</v>
      </c>
      <c r="F27" s="11">
        <v>110819.4</v>
      </c>
      <c r="G27" s="11">
        <f t="shared" si="3"/>
        <v>6250</v>
      </c>
      <c r="H27" s="11">
        <v>6250</v>
      </c>
      <c r="I27" s="78">
        <v>2885.25</v>
      </c>
      <c r="J27" s="78">
        <v>2885.25</v>
      </c>
      <c r="K27" s="11">
        <f t="shared" si="4"/>
        <v>-498.74000000000024</v>
      </c>
      <c r="L27" s="11">
        <f t="shared" si="5"/>
        <v>-3364.75</v>
      </c>
      <c r="M27" s="11">
        <f t="shared" si="6"/>
        <v>-107934.15</v>
      </c>
      <c r="N27" s="11">
        <f t="shared" si="0"/>
        <v>-3364.75</v>
      </c>
      <c r="O27" s="12">
        <f t="shared" si="1"/>
        <v>0.8526177677830017</v>
      </c>
      <c r="P27" s="12">
        <f t="shared" si="7"/>
        <v>0.46164</v>
      </c>
      <c r="Q27" s="12">
        <f t="shared" si="2"/>
        <v>0.02603560387441188</v>
      </c>
    </row>
    <row r="28" spans="1:17" s="7" customFormat="1" ht="15.75">
      <c r="A28" s="130"/>
      <c r="B28" s="133"/>
      <c r="C28" s="92"/>
      <c r="D28" s="96" t="s">
        <v>15</v>
      </c>
      <c r="E28" s="55">
        <f aca="true" t="shared" si="8" ref="E28:J28">SUM(E25:E27)</f>
        <v>7163.41</v>
      </c>
      <c r="F28" s="55">
        <f t="shared" si="8"/>
        <v>278232.69999999995</v>
      </c>
      <c r="G28" s="55">
        <f t="shared" si="3"/>
        <v>13450</v>
      </c>
      <c r="H28" s="55">
        <f t="shared" si="8"/>
        <v>13450</v>
      </c>
      <c r="I28" s="55">
        <f t="shared" si="8"/>
        <v>8267.34</v>
      </c>
      <c r="J28" s="55">
        <f t="shared" si="8"/>
        <v>8267.34</v>
      </c>
      <c r="K28" s="55">
        <f t="shared" si="4"/>
        <v>1103.9300000000003</v>
      </c>
      <c r="L28" s="55">
        <f t="shared" si="5"/>
        <v>-5182.66</v>
      </c>
      <c r="M28" s="55">
        <f t="shared" si="6"/>
        <v>-269965.3599999999</v>
      </c>
      <c r="N28" s="55">
        <f t="shared" si="0"/>
        <v>-5182.66</v>
      </c>
      <c r="O28" s="57">
        <f t="shared" si="1"/>
        <v>1.154106773170878</v>
      </c>
      <c r="P28" s="57">
        <f t="shared" si="7"/>
        <v>0.6146721189591078</v>
      </c>
      <c r="Q28" s="57">
        <f t="shared" si="2"/>
        <v>0.029713761179041866</v>
      </c>
    </row>
    <row r="29" spans="1:17" ht="15.75">
      <c r="A29" s="125">
        <v>951</v>
      </c>
      <c r="B29" s="125" t="s">
        <v>17</v>
      </c>
      <c r="C29" s="41" t="s">
        <v>132</v>
      </c>
      <c r="D29" s="14" t="s">
        <v>51</v>
      </c>
      <c r="E29" s="9">
        <v>2081.66</v>
      </c>
      <c r="F29" s="9">
        <v>91712.1</v>
      </c>
      <c r="G29" s="9">
        <f t="shared" si="3"/>
        <v>1883</v>
      </c>
      <c r="H29" s="9">
        <v>1883</v>
      </c>
      <c r="I29" s="77">
        <v>1631.87</v>
      </c>
      <c r="J29" s="77">
        <v>1631.87</v>
      </c>
      <c r="K29" s="9">
        <f t="shared" si="4"/>
        <v>-449.78999999999996</v>
      </c>
      <c r="L29" s="9">
        <f t="shared" si="5"/>
        <v>-251.1300000000001</v>
      </c>
      <c r="M29" s="9">
        <f t="shared" si="6"/>
        <v>-90080.23000000001</v>
      </c>
      <c r="N29" s="9">
        <f t="shared" si="0"/>
        <v>-251.1300000000001</v>
      </c>
      <c r="O29" s="12">
        <f t="shared" si="1"/>
        <v>0.7839272503674952</v>
      </c>
      <c r="P29" s="12">
        <f t="shared" si="7"/>
        <v>0.8666330323951141</v>
      </c>
      <c r="Q29" s="12">
        <f t="shared" si="2"/>
        <v>0.017793399126178548</v>
      </c>
    </row>
    <row r="30" spans="1:17" ht="15.75">
      <c r="A30" s="125"/>
      <c r="B30" s="125"/>
      <c r="C30" s="40" t="s">
        <v>131</v>
      </c>
      <c r="D30" s="10" t="s">
        <v>53</v>
      </c>
      <c r="E30" s="9">
        <v>292.95</v>
      </c>
      <c r="F30" s="9">
        <v>14224.9</v>
      </c>
      <c r="G30" s="9">
        <f t="shared" si="3"/>
        <v>422.6</v>
      </c>
      <c r="H30" s="9">
        <v>422.6</v>
      </c>
      <c r="I30" s="77">
        <v>144.05</v>
      </c>
      <c r="J30" s="77">
        <v>144.05</v>
      </c>
      <c r="K30" s="9">
        <f t="shared" si="4"/>
        <v>-148.89999999999998</v>
      </c>
      <c r="L30" s="9">
        <f t="shared" si="5"/>
        <v>-278.55</v>
      </c>
      <c r="M30" s="9">
        <f t="shared" si="6"/>
        <v>-14080.85</v>
      </c>
      <c r="N30" s="9">
        <f t="shared" si="0"/>
        <v>-278.55</v>
      </c>
      <c r="O30" s="12">
        <f t="shared" si="1"/>
        <v>0.49172213688342725</v>
      </c>
      <c r="P30" s="12">
        <f t="shared" si="7"/>
        <v>0.34086606720302887</v>
      </c>
      <c r="Q30" s="12">
        <f t="shared" si="2"/>
        <v>0.010126608974404039</v>
      </c>
    </row>
    <row r="31" spans="1:17" s="7" customFormat="1" ht="15.75">
      <c r="A31" s="125"/>
      <c r="B31" s="125"/>
      <c r="C31" s="92"/>
      <c r="D31" s="98" t="s">
        <v>15</v>
      </c>
      <c r="E31" s="55">
        <f>E29+E30</f>
        <v>2374.6099999999997</v>
      </c>
      <c r="F31" s="55">
        <f>F29+F30</f>
        <v>105937</v>
      </c>
      <c r="G31" s="55">
        <f t="shared" si="3"/>
        <v>2305.6</v>
      </c>
      <c r="H31" s="55">
        <f>H29+H30</f>
        <v>2305.6</v>
      </c>
      <c r="I31" s="55">
        <f>I29+I30</f>
        <v>1775.9199999999998</v>
      </c>
      <c r="J31" s="55">
        <f>J29+J30</f>
        <v>1775.9199999999998</v>
      </c>
      <c r="K31" s="55">
        <f t="shared" si="4"/>
        <v>-598.6899999999998</v>
      </c>
      <c r="L31" s="55">
        <f t="shared" si="5"/>
        <v>-529.6800000000001</v>
      </c>
      <c r="M31" s="55">
        <f t="shared" si="6"/>
        <v>-104161.08</v>
      </c>
      <c r="N31" s="55">
        <f t="shared" si="0"/>
        <v>-529.6800000000001</v>
      </c>
      <c r="O31" s="57">
        <f t="shared" si="1"/>
        <v>0.7478785990120483</v>
      </c>
      <c r="P31" s="57">
        <f t="shared" si="7"/>
        <v>0.7702637057598889</v>
      </c>
      <c r="Q31" s="57">
        <f t="shared" si="2"/>
        <v>0.01676392572944297</v>
      </c>
    </row>
    <row r="32" spans="1:17" ht="15.75">
      <c r="A32" s="124" t="s">
        <v>54</v>
      </c>
      <c r="B32" s="125" t="s">
        <v>55</v>
      </c>
      <c r="C32" s="40" t="s">
        <v>56</v>
      </c>
      <c r="D32" s="10" t="s">
        <v>57</v>
      </c>
      <c r="E32" s="5"/>
      <c r="F32" s="5">
        <v>496</v>
      </c>
      <c r="G32" s="5">
        <f t="shared" si="3"/>
        <v>0</v>
      </c>
      <c r="H32" s="5"/>
      <c r="I32" s="78">
        <v>0</v>
      </c>
      <c r="J32" s="78">
        <v>0</v>
      </c>
      <c r="K32" s="5">
        <f t="shared" si="4"/>
        <v>0</v>
      </c>
      <c r="L32" s="5">
        <f t="shared" si="5"/>
        <v>0</v>
      </c>
      <c r="M32" s="5">
        <f t="shared" si="6"/>
        <v>-496</v>
      </c>
      <c r="N32" s="5">
        <f t="shared" si="0"/>
        <v>0</v>
      </c>
      <c r="O32" s="12">
        <f t="shared" si="1"/>
      </c>
      <c r="P32" s="12">
        <f t="shared" si="7"/>
      </c>
      <c r="Q32" s="12">
        <f t="shared" si="2"/>
        <v>0</v>
      </c>
    </row>
    <row r="33" spans="1:17" ht="15.75">
      <c r="A33" s="124"/>
      <c r="B33" s="125"/>
      <c r="C33" s="40" t="s">
        <v>58</v>
      </c>
      <c r="D33" s="15" t="s">
        <v>59</v>
      </c>
      <c r="E33" s="5">
        <v>1155.03</v>
      </c>
      <c r="F33" s="5">
        <v>100081.7</v>
      </c>
      <c r="G33" s="5">
        <f t="shared" si="3"/>
        <v>5500</v>
      </c>
      <c r="H33" s="5">
        <v>5500</v>
      </c>
      <c r="I33" s="78">
        <v>1647.22</v>
      </c>
      <c r="J33" s="78">
        <v>1647.22</v>
      </c>
      <c r="K33" s="5">
        <f t="shared" si="4"/>
        <v>492.19000000000005</v>
      </c>
      <c r="L33" s="5">
        <f t="shared" si="5"/>
        <v>-3852.7799999999997</v>
      </c>
      <c r="M33" s="5">
        <f t="shared" si="6"/>
        <v>-98434.48</v>
      </c>
      <c r="N33" s="5">
        <f t="shared" si="0"/>
        <v>-3852.7799999999997</v>
      </c>
      <c r="O33" s="12">
        <f t="shared" si="1"/>
        <v>1.4261274598928166</v>
      </c>
      <c r="P33" s="12">
        <f t="shared" si="7"/>
        <v>0.29949454545454546</v>
      </c>
      <c r="Q33" s="12">
        <f t="shared" si="2"/>
        <v>0.016458753198636714</v>
      </c>
    </row>
    <row r="34" spans="1:17" ht="15.75">
      <c r="A34" s="124"/>
      <c r="B34" s="125"/>
      <c r="C34" s="41" t="s">
        <v>50</v>
      </c>
      <c r="D34" s="14" t="s">
        <v>60</v>
      </c>
      <c r="E34" s="5"/>
      <c r="F34" s="5">
        <v>557</v>
      </c>
      <c r="G34" s="5">
        <f t="shared" si="3"/>
        <v>46.4</v>
      </c>
      <c r="H34" s="5">
        <v>46.4</v>
      </c>
      <c r="I34" s="78">
        <v>501.99</v>
      </c>
      <c r="J34" s="78">
        <v>501.99</v>
      </c>
      <c r="K34" s="5">
        <f t="shared" si="4"/>
        <v>501.99</v>
      </c>
      <c r="L34" s="5">
        <f t="shared" si="5"/>
        <v>455.59000000000003</v>
      </c>
      <c r="M34" s="5">
        <f t="shared" si="6"/>
        <v>-55.00999999999999</v>
      </c>
      <c r="N34" s="5">
        <f t="shared" si="0"/>
        <v>455.59000000000003</v>
      </c>
      <c r="O34" s="12">
        <f t="shared" si="1"/>
      </c>
      <c r="P34" s="12">
        <f t="shared" si="7"/>
        <v>10.81875</v>
      </c>
      <c r="Q34" s="12">
        <f t="shared" si="2"/>
        <v>0.9012387791741472</v>
      </c>
    </row>
    <row r="35" spans="1:17" ht="15.75">
      <c r="A35" s="124"/>
      <c r="B35" s="125"/>
      <c r="C35" s="41" t="s">
        <v>61</v>
      </c>
      <c r="D35" s="14" t="s">
        <v>62</v>
      </c>
      <c r="E35" s="9">
        <f>E36+E38+E37</f>
        <v>2959.45</v>
      </c>
      <c r="F35" s="16">
        <f>F36+F38+F37</f>
        <v>85540.8</v>
      </c>
      <c r="G35" s="16">
        <f t="shared" si="3"/>
        <v>4070.7</v>
      </c>
      <c r="H35" s="16">
        <f>H36+H38+H37</f>
        <v>4070.7</v>
      </c>
      <c r="I35" s="16">
        <f>I36+I38+I37</f>
        <v>87531.37000000001</v>
      </c>
      <c r="J35" s="16">
        <f>J36+J38+J37</f>
        <v>87531.37000000001</v>
      </c>
      <c r="K35" s="16">
        <f t="shared" si="4"/>
        <v>84571.92000000001</v>
      </c>
      <c r="L35" s="16">
        <f t="shared" si="5"/>
        <v>83460.67000000001</v>
      </c>
      <c r="M35" s="16">
        <f t="shared" si="6"/>
        <v>1990.570000000007</v>
      </c>
      <c r="N35" s="16">
        <f t="shared" si="0"/>
        <v>83460.67000000001</v>
      </c>
      <c r="O35" s="12">
        <f t="shared" si="1"/>
        <v>29.576904492388795</v>
      </c>
      <c r="P35" s="12">
        <f t="shared" si="7"/>
        <v>21.502780848502717</v>
      </c>
      <c r="Q35" s="12">
        <f t="shared" si="2"/>
        <v>1.0232704159886277</v>
      </c>
    </row>
    <row r="36" spans="1:17" s="7" customFormat="1" ht="15.75">
      <c r="A36" s="124"/>
      <c r="B36" s="125"/>
      <c r="C36" s="42" t="s">
        <v>134</v>
      </c>
      <c r="D36" s="17" t="s">
        <v>63</v>
      </c>
      <c r="E36" s="18">
        <v>692</v>
      </c>
      <c r="F36" s="18">
        <v>48594.6</v>
      </c>
      <c r="G36" s="18">
        <f t="shared" si="3"/>
        <v>1750</v>
      </c>
      <c r="H36" s="18">
        <v>1750</v>
      </c>
      <c r="I36" s="80">
        <v>86002.3</v>
      </c>
      <c r="J36" s="80">
        <v>86002.3</v>
      </c>
      <c r="K36" s="18">
        <f t="shared" si="4"/>
        <v>85310.3</v>
      </c>
      <c r="L36" s="18">
        <f t="shared" si="5"/>
        <v>84252.3</v>
      </c>
      <c r="M36" s="18">
        <f t="shared" si="6"/>
        <v>37407.700000000004</v>
      </c>
      <c r="N36" s="18">
        <f t="shared" si="0"/>
        <v>84252.3</v>
      </c>
      <c r="O36" s="12">
        <f t="shared" si="1"/>
        <v>124.28078034682082</v>
      </c>
      <c r="P36" s="12">
        <f t="shared" si="7"/>
        <v>49.14417142857143</v>
      </c>
      <c r="Q36" s="12">
        <f t="shared" si="2"/>
        <v>1.7697912936828373</v>
      </c>
    </row>
    <row r="37" spans="1:17" s="7" customFormat="1" ht="15.75">
      <c r="A37" s="124"/>
      <c r="B37" s="125"/>
      <c r="C37" s="42" t="s">
        <v>135</v>
      </c>
      <c r="D37" s="17" t="s">
        <v>64</v>
      </c>
      <c r="E37" s="18"/>
      <c r="F37" s="18">
        <v>1867.8</v>
      </c>
      <c r="G37" s="18">
        <f t="shared" si="3"/>
        <v>0</v>
      </c>
      <c r="H37" s="18"/>
      <c r="I37" s="80">
        <v>0</v>
      </c>
      <c r="J37" s="80">
        <v>0</v>
      </c>
      <c r="K37" s="18">
        <f t="shared" si="4"/>
        <v>0</v>
      </c>
      <c r="L37" s="18">
        <f t="shared" si="5"/>
        <v>0</v>
      </c>
      <c r="M37" s="18">
        <f t="shared" si="6"/>
        <v>-1867.8</v>
      </c>
      <c r="N37" s="18">
        <f aca="true" t="shared" si="9" ref="N37:N68">J37-H37</f>
        <v>0</v>
      </c>
      <c r="O37" s="12">
        <f aca="true" t="shared" si="10" ref="O37:O68">_xlfn.IFERROR(I37/E37,"")</f>
      </c>
      <c r="P37" s="12">
        <f t="shared" si="7"/>
      </c>
      <c r="Q37" s="12">
        <f aca="true" t="shared" si="11" ref="Q37:Q68">_xlfn.IFERROR(I37/F37,"")</f>
        <v>0</v>
      </c>
    </row>
    <row r="38" spans="1:17" s="7" customFormat="1" ht="15.75">
      <c r="A38" s="124"/>
      <c r="B38" s="125"/>
      <c r="C38" s="42" t="s">
        <v>133</v>
      </c>
      <c r="D38" s="17" t="s">
        <v>65</v>
      </c>
      <c r="E38" s="18">
        <v>2267.45</v>
      </c>
      <c r="F38" s="18">
        <v>35078.4</v>
      </c>
      <c r="G38" s="18">
        <f t="shared" si="3"/>
        <v>2320.7</v>
      </c>
      <c r="H38" s="18">
        <v>2320.7</v>
      </c>
      <c r="I38" s="55">
        <v>1529.07</v>
      </c>
      <c r="J38" s="80">
        <v>1529.07</v>
      </c>
      <c r="K38" s="18">
        <f aca="true" t="shared" si="12" ref="K38:K62">I38-E38</f>
        <v>-738.3799999999999</v>
      </c>
      <c r="L38" s="18">
        <f aca="true" t="shared" si="13" ref="L38:L69">I38-G38</f>
        <v>-791.6299999999999</v>
      </c>
      <c r="M38" s="18">
        <f aca="true" t="shared" si="14" ref="M38:M69">I38-F38</f>
        <v>-33549.33</v>
      </c>
      <c r="N38" s="18">
        <f t="shared" si="9"/>
        <v>-791.6299999999999</v>
      </c>
      <c r="O38" s="12">
        <f t="shared" si="10"/>
        <v>0.6743566561555933</v>
      </c>
      <c r="P38" s="12">
        <f t="shared" si="7"/>
        <v>0.6588830956177015</v>
      </c>
      <c r="Q38" s="12">
        <f t="shared" si="11"/>
        <v>0.04359007252326218</v>
      </c>
    </row>
    <row r="39" spans="1:17" s="7" customFormat="1" ht="15.75">
      <c r="A39" s="124"/>
      <c r="B39" s="124"/>
      <c r="C39" s="92"/>
      <c r="D39" s="98" t="s">
        <v>15</v>
      </c>
      <c r="E39" s="55">
        <f>SUM(E32:E35)</f>
        <v>4114.48</v>
      </c>
      <c r="F39" s="55">
        <f>SUM(F32:F35)</f>
        <v>186675.5</v>
      </c>
      <c r="G39" s="55">
        <f t="shared" si="3"/>
        <v>9617.099999999999</v>
      </c>
      <c r="H39" s="55">
        <f>SUM(H32:H35)</f>
        <v>9617.099999999999</v>
      </c>
      <c r="I39" s="55">
        <f>SUM(I32:I35)</f>
        <v>89680.58000000002</v>
      </c>
      <c r="J39" s="55">
        <f>SUM(J32:J35)</f>
        <v>89680.58000000002</v>
      </c>
      <c r="K39" s="55">
        <f t="shared" si="12"/>
        <v>85566.10000000002</v>
      </c>
      <c r="L39" s="55">
        <f t="shared" si="13"/>
        <v>80063.48000000001</v>
      </c>
      <c r="M39" s="55">
        <f t="shared" si="14"/>
        <v>-96994.91999999998</v>
      </c>
      <c r="N39" s="55">
        <f t="shared" si="9"/>
        <v>80063.48000000001</v>
      </c>
      <c r="O39" s="57">
        <f t="shared" si="10"/>
        <v>21.796333923120304</v>
      </c>
      <c r="P39" s="57">
        <f t="shared" si="7"/>
        <v>9.325116719177302</v>
      </c>
      <c r="Q39" s="57">
        <f t="shared" si="11"/>
        <v>0.4804089449338559</v>
      </c>
    </row>
    <row r="40" spans="1:17" ht="31.5">
      <c r="A40" s="124" t="s">
        <v>114</v>
      </c>
      <c r="B40" s="125" t="s">
        <v>25</v>
      </c>
      <c r="C40" s="41" t="s">
        <v>151</v>
      </c>
      <c r="D40" s="14" t="s">
        <v>67</v>
      </c>
      <c r="E40" s="16">
        <v>3461.13</v>
      </c>
      <c r="F40" s="16">
        <v>326627.4</v>
      </c>
      <c r="G40" s="16">
        <f t="shared" si="3"/>
        <v>8000</v>
      </c>
      <c r="H40" s="16">
        <v>8000</v>
      </c>
      <c r="I40" s="79">
        <v>2318.5</v>
      </c>
      <c r="J40" s="79">
        <v>2318.5</v>
      </c>
      <c r="K40" s="16">
        <f t="shared" si="12"/>
        <v>-1142.63</v>
      </c>
      <c r="L40" s="16">
        <f t="shared" si="13"/>
        <v>-5681.5</v>
      </c>
      <c r="M40" s="16">
        <f t="shared" si="14"/>
        <v>-324308.9</v>
      </c>
      <c r="N40" s="16">
        <f t="shared" si="9"/>
        <v>-5681.5</v>
      </c>
      <c r="O40" s="12">
        <f t="shared" si="10"/>
        <v>0.6698679333050188</v>
      </c>
      <c r="P40" s="12">
        <f t="shared" si="7"/>
        <v>0.2898125</v>
      </c>
      <c r="Q40" s="12">
        <f t="shared" si="11"/>
        <v>0.0070983022244918825</v>
      </c>
    </row>
    <row r="41" spans="1:17" ht="15.75">
      <c r="A41" s="124"/>
      <c r="B41" s="125"/>
      <c r="C41" s="41" t="s">
        <v>149</v>
      </c>
      <c r="D41" s="14" t="s">
        <v>68</v>
      </c>
      <c r="E41" s="16">
        <v>303.65</v>
      </c>
      <c r="F41" s="16">
        <v>245061.4</v>
      </c>
      <c r="G41" s="16">
        <f t="shared" si="3"/>
        <v>600</v>
      </c>
      <c r="H41" s="16">
        <v>600</v>
      </c>
      <c r="I41" s="79">
        <v>226</v>
      </c>
      <c r="J41" s="79">
        <v>226</v>
      </c>
      <c r="K41" s="16">
        <f t="shared" si="12"/>
        <v>-77.64999999999998</v>
      </c>
      <c r="L41" s="16">
        <f t="shared" si="13"/>
        <v>-374</v>
      </c>
      <c r="M41" s="16">
        <f t="shared" si="14"/>
        <v>-244835.4</v>
      </c>
      <c r="N41" s="16">
        <f t="shared" si="9"/>
        <v>-374</v>
      </c>
      <c r="O41" s="12">
        <f t="shared" si="10"/>
        <v>0.7442779515890006</v>
      </c>
      <c r="P41" s="12">
        <f t="shared" si="7"/>
        <v>0.37666666666666665</v>
      </c>
      <c r="Q41" s="12">
        <f t="shared" si="11"/>
        <v>0.000922217860503531</v>
      </c>
    </row>
    <row r="42" spans="1:17" ht="31.5">
      <c r="A42" s="124"/>
      <c r="B42" s="125"/>
      <c r="C42" s="40" t="s">
        <v>154</v>
      </c>
      <c r="D42" s="10" t="s">
        <v>69</v>
      </c>
      <c r="E42" s="16">
        <v>411.38</v>
      </c>
      <c r="F42" s="9">
        <v>48566.2</v>
      </c>
      <c r="G42" s="9">
        <f t="shared" si="3"/>
        <v>400</v>
      </c>
      <c r="H42" s="9">
        <v>400</v>
      </c>
      <c r="I42" s="79">
        <v>216.16</v>
      </c>
      <c r="J42" s="79">
        <v>216.16</v>
      </c>
      <c r="K42" s="9">
        <f t="shared" si="12"/>
        <v>-195.22</v>
      </c>
      <c r="L42" s="9">
        <f t="shared" si="13"/>
        <v>-183.84</v>
      </c>
      <c r="M42" s="9">
        <f t="shared" si="14"/>
        <v>-48350.03999999999</v>
      </c>
      <c r="N42" s="9">
        <f t="shared" si="9"/>
        <v>-183.84</v>
      </c>
      <c r="O42" s="12">
        <f t="shared" si="10"/>
        <v>0.5254509212893189</v>
      </c>
      <c r="P42" s="12">
        <f t="shared" si="7"/>
        <v>0.5404</v>
      </c>
      <c r="Q42" s="12">
        <f t="shared" si="11"/>
        <v>0.004450832060157064</v>
      </c>
    </row>
    <row r="43" spans="1:17" ht="15.75" hidden="1">
      <c r="A43" s="134"/>
      <c r="B43" s="137"/>
      <c r="C43" s="43" t="s">
        <v>148</v>
      </c>
      <c r="D43" s="14" t="s">
        <v>68</v>
      </c>
      <c r="E43" s="16"/>
      <c r="F43" s="9"/>
      <c r="G43" s="9">
        <f t="shared" si="3"/>
        <v>0</v>
      </c>
      <c r="H43" s="9"/>
      <c r="I43" s="79">
        <v>0</v>
      </c>
      <c r="J43" s="79">
        <v>0</v>
      </c>
      <c r="K43" s="9">
        <f t="shared" si="12"/>
        <v>0</v>
      </c>
      <c r="L43" s="9">
        <f t="shared" si="13"/>
        <v>0</v>
      </c>
      <c r="M43" s="9">
        <f t="shared" si="14"/>
        <v>0</v>
      </c>
      <c r="N43" s="9">
        <f t="shared" si="9"/>
        <v>0</v>
      </c>
      <c r="O43" s="12">
        <f t="shared" si="10"/>
      </c>
      <c r="P43" s="12">
        <f t="shared" si="7"/>
      </c>
      <c r="Q43" s="12">
        <f t="shared" si="11"/>
      </c>
    </row>
    <row r="44" spans="1:17" ht="31.5">
      <c r="A44" s="135"/>
      <c r="B44" s="138"/>
      <c r="C44" s="44" t="s">
        <v>122</v>
      </c>
      <c r="D44" s="19" t="s">
        <v>123</v>
      </c>
      <c r="E44" s="9">
        <v>352.40999999999997</v>
      </c>
      <c r="F44" s="9">
        <v>2948.3</v>
      </c>
      <c r="G44" s="9">
        <f t="shared" si="3"/>
        <v>0</v>
      </c>
      <c r="H44" s="9"/>
      <c r="I44" s="79">
        <v>101.39</v>
      </c>
      <c r="J44" s="79">
        <v>101.39</v>
      </c>
      <c r="K44" s="9">
        <f t="shared" si="12"/>
        <v>-251.01999999999998</v>
      </c>
      <c r="L44" s="9">
        <f t="shared" si="13"/>
        <v>101.39</v>
      </c>
      <c r="M44" s="9">
        <f t="shared" si="14"/>
        <v>-2846.9100000000003</v>
      </c>
      <c r="N44" s="9">
        <f t="shared" si="9"/>
        <v>101.39</v>
      </c>
      <c r="O44" s="12">
        <f t="shared" si="10"/>
        <v>0.28770466218325247</v>
      </c>
      <c r="P44" s="12">
        <f t="shared" si="7"/>
      </c>
      <c r="Q44" s="12">
        <f t="shared" si="11"/>
        <v>0.03438930909337584</v>
      </c>
    </row>
    <row r="45" spans="1:17" ht="15.75">
      <c r="A45" s="136"/>
      <c r="B45" s="139"/>
      <c r="C45" s="45" t="s">
        <v>139</v>
      </c>
      <c r="D45" s="20" t="s">
        <v>136</v>
      </c>
      <c r="E45" s="9"/>
      <c r="F45" s="9"/>
      <c r="G45" s="9">
        <f t="shared" si="3"/>
        <v>0</v>
      </c>
      <c r="H45" s="9"/>
      <c r="I45" s="79">
        <v>7.5</v>
      </c>
      <c r="J45" s="79">
        <v>7.5</v>
      </c>
      <c r="K45" s="9">
        <f t="shared" si="12"/>
        <v>7.5</v>
      </c>
      <c r="L45" s="9">
        <f t="shared" si="13"/>
        <v>7.5</v>
      </c>
      <c r="M45" s="9">
        <f t="shared" si="14"/>
        <v>7.5</v>
      </c>
      <c r="N45" s="9">
        <f t="shared" si="9"/>
        <v>7.5</v>
      </c>
      <c r="O45" s="12">
        <f t="shared" si="10"/>
      </c>
      <c r="P45" s="12">
        <f t="shared" si="7"/>
      </c>
      <c r="Q45" s="12">
        <f t="shared" si="11"/>
      </c>
    </row>
    <row r="46" spans="1:17" ht="31.5">
      <c r="A46" s="124"/>
      <c r="B46" s="125"/>
      <c r="C46" s="41" t="s">
        <v>70</v>
      </c>
      <c r="D46" s="14" t="s">
        <v>71</v>
      </c>
      <c r="E46" s="5">
        <v>453.42</v>
      </c>
      <c r="F46" s="5">
        <v>104142</v>
      </c>
      <c r="G46" s="5">
        <f t="shared" si="3"/>
        <v>440</v>
      </c>
      <c r="H46" s="5">
        <v>440</v>
      </c>
      <c r="I46" s="79">
        <v>883.87</v>
      </c>
      <c r="J46" s="79">
        <v>883.87</v>
      </c>
      <c r="K46" s="5">
        <f t="shared" si="12"/>
        <v>430.45</v>
      </c>
      <c r="L46" s="5">
        <f t="shared" si="13"/>
        <v>443.87</v>
      </c>
      <c r="M46" s="5">
        <f t="shared" si="14"/>
        <v>-103258.13</v>
      </c>
      <c r="N46" s="5">
        <f t="shared" si="9"/>
        <v>443.87</v>
      </c>
      <c r="O46" s="12">
        <f t="shared" si="10"/>
        <v>1.9493405672444972</v>
      </c>
      <c r="P46" s="12">
        <f t="shared" si="7"/>
        <v>2.0087954545454547</v>
      </c>
      <c r="Q46" s="12">
        <f t="shared" si="11"/>
        <v>0.008487161759904745</v>
      </c>
    </row>
    <row r="47" spans="1:17" ht="31.5" hidden="1">
      <c r="A47" s="124"/>
      <c r="B47" s="125"/>
      <c r="C47" s="41" t="s">
        <v>72</v>
      </c>
      <c r="D47" s="14" t="s">
        <v>73</v>
      </c>
      <c r="E47" s="5"/>
      <c r="F47" s="5"/>
      <c r="G47" s="5">
        <f t="shared" si="3"/>
        <v>0</v>
      </c>
      <c r="H47" s="5"/>
      <c r="I47" s="79">
        <v>0</v>
      </c>
      <c r="J47" s="79">
        <v>0</v>
      </c>
      <c r="K47" s="5">
        <f t="shared" si="12"/>
        <v>0</v>
      </c>
      <c r="L47" s="5">
        <f t="shared" si="13"/>
        <v>0</v>
      </c>
      <c r="M47" s="5">
        <f t="shared" si="14"/>
        <v>0</v>
      </c>
      <c r="N47" s="5">
        <f t="shared" si="9"/>
        <v>0</v>
      </c>
      <c r="O47" s="12">
        <f t="shared" si="10"/>
      </c>
      <c r="P47" s="12">
        <f t="shared" si="7"/>
      </c>
      <c r="Q47" s="12">
        <f t="shared" si="11"/>
      </c>
    </row>
    <row r="48" spans="1:17" ht="31.5">
      <c r="A48" s="124"/>
      <c r="B48" s="125"/>
      <c r="C48" s="41" t="s">
        <v>74</v>
      </c>
      <c r="D48" s="14" t="s">
        <v>75</v>
      </c>
      <c r="E48" s="5">
        <v>2120.69</v>
      </c>
      <c r="F48" s="5">
        <v>45272.2</v>
      </c>
      <c r="G48" s="5">
        <f t="shared" si="3"/>
        <v>1000</v>
      </c>
      <c r="H48" s="5">
        <v>1000</v>
      </c>
      <c r="I48" s="78">
        <v>5406.54</v>
      </c>
      <c r="J48" s="78">
        <v>5406.54</v>
      </c>
      <c r="K48" s="5">
        <f t="shared" si="12"/>
        <v>3285.85</v>
      </c>
      <c r="L48" s="5">
        <f t="shared" si="13"/>
        <v>4406.54</v>
      </c>
      <c r="M48" s="5">
        <f t="shared" si="14"/>
        <v>-39865.659999999996</v>
      </c>
      <c r="N48" s="5">
        <f t="shared" si="9"/>
        <v>4406.54</v>
      </c>
      <c r="O48" s="12">
        <f t="shared" si="10"/>
        <v>2.549424951313016</v>
      </c>
      <c r="P48" s="12">
        <f t="shared" si="7"/>
        <v>5.40654</v>
      </c>
      <c r="Q48" s="12">
        <f t="shared" si="11"/>
        <v>0.11942295713484213</v>
      </c>
    </row>
    <row r="49" spans="1:17" s="7" customFormat="1" ht="15.75">
      <c r="A49" s="124"/>
      <c r="B49" s="124"/>
      <c r="C49" s="99"/>
      <c r="D49" s="98" t="s">
        <v>15</v>
      </c>
      <c r="E49" s="55">
        <f>SUM(E40:E48)</f>
        <v>7102.68</v>
      </c>
      <c r="F49" s="55">
        <f>SUM(F40:F48)</f>
        <v>772617.5</v>
      </c>
      <c r="G49" s="55">
        <f t="shared" si="3"/>
        <v>10440</v>
      </c>
      <c r="H49" s="55">
        <f>SUM(H40:H48)</f>
        <v>10440</v>
      </c>
      <c r="I49" s="55">
        <f>SUM(I40:I48)</f>
        <v>9159.96</v>
      </c>
      <c r="J49" s="55">
        <f>SUM(J40:J48)</f>
        <v>9159.96</v>
      </c>
      <c r="K49" s="55">
        <f t="shared" si="12"/>
        <v>2057.279999999999</v>
      </c>
      <c r="L49" s="55">
        <f t="shared" si="13"/>
        <v>-1280.0400000000009</v>
      </c>
      <c r="M49" s="55">
        <f t="shared" si="14"/>
        <v>-763457.54</v>
      </c>
      <c r="N49" s="55">
        <f t="shared" si="9"/>
        <v>-1280.0400000000009</v>
      </c>
      <c r="O49" s="12">
        <f t="shared" si="10"/>
        <v>1.2896484144013245</v>
      </c>
      <c r="P49" s="12">
        <f t="shared" si="7"/>
        <v>0.877390804597701</v>
      </c>
      <c r="Q49" s="12">
        <f t="shared" si="11"/>
        <v>0.011855750096263674</v>
      </c>
    </row>
    <row r="50" spans="1:17" ht="15.75">
      <c r="A50" s="124" t="s">
        <v>76</v>
      </c>
      <c r="B50" s="125" t="s">
        <v>77</v>
      </c>
      <c r="C50" s="40" t="s">
        <v>48</v>
      </c>
      <c r="D50" s="10" t="s">
        <v>49</v>
      </c>
      <c r="E50" s="11"/>
      <c r="F50" s="11">
        <v>4487</v>
      </c>
      <c r="G50" s="11">
        <f t="shared" si="3"/>
        <v>0</v>
      </c>
      <c r="H50" s="11"/>
      <c r="I50" s="78">
        <v>0</v>
      </c>
      <c r="J50" s="78">
        <v>0</v>
      </c>
      <c r="K50" s="11">
        <f t="shared" si="12"/>
        <v>0</v>
      </c>
      <c r="L50" s="11">
        <f t="shared" si="13"/>
        <v>0</v>
      </c>
      <c r="M50" s="11">
        <f t="shared" si="14"/>
        <v>-4487</v>
      </c>
      <c r="N50" s="11">
        <f t="shared" si="9"/>
        <v>0</v>
      </c>
      <c r="O50" s="12">
        <f t="shared" si="10"/>
      </c>
      <c r="P50" s="12">
        <f t="shared" si="7"/>
      </c>
      <c r="Q50" s="12">
        <f t="shared" si="11"/>
        <v>0</v>
      </c>
    </row>
    <row r="51" spans="1:17" s="7" customFormat="1" ht="15.75">
      <c r="A51" s="124"/>
      <c r="B51" s="125"/>
      <c r="C51" s="99"/>
      <c r="D51" s="100" t="s">
        <v>15</v>
      </c>
      <c r="E51" s="58">
        <f>SUM(E50:E50)</f>
        <v>0</v>
      </c>
      <c r="F51" s="58">
        <f>SUM(F50:F50)</f>
        <v>4487</v>
      </c>
      <c r="G51" s="58">
        <f t="shared" si="3"/>
        <v>0</v>
      </c>
      <c r="H51" s="58">
        <f>SUM(H50:H50)</f>
        <v>0</v>
      </c>
      <c r="I51" s="58">
        <f>SUM(I50:I50)</f>
        <v>0</v>
      </c>
      <c r="J51" s="58">
        <f>SUM(J50:J50)</f>
        <v>0</v>
      </c>
      <c r="K51" s="58">
        <f t="shared" si="12"/>
        <v>0</v>
      </c>
      <c r="L51" s="58">
        <f t="shared" si="13"/>
        <v>0</v>
      </c>
      <c r="M51" s="58">
        <f t="shared" si="14"/>
        <v>-4487</v>
      </c>
      <c r="N51" s="58">
        <f t="shared" si="9"/>
        <v>0</v>
      </c>
      <c r="O51" s="21">
        <f t="shared" si="10"/>
      </c>
      <c r="P51" s="21">
        <f t="shared" si="7"/>
      </c>
      <c r="Q51" s="21">
        <f t="shared" si="11"/>
        <v>0</v>
      </c>
    </row>
    <row r="52" spans="1:17" ht="15.75" hidden="1">
      <c r="A52" s="128" t="s">
        <v>79</v>
      </c>
      <c r="B52" s="131" t="s">
        <v>116</v>
      </c>
      <c r="C52" s="40" t="s">
        <v>48</v>
      </c>
      <c r="D52" s="22" t="s">
        <v>49</v>
      </c>
      <c r="E52" s="23"/>
      <c r="F52" s="23"/>
      <c r="G52" s="23">
        <f t="shared" si="3"/>
        <v>0</v>
      </c>
      <c r="H52" s="23"/>
      <c r="I52" s="78">
        <v>0</v>
      </c>
      <c r="J52" s="78">
        <v>0</v>
      </c>
      <c r="K52" s="23">
        <f t="shared" si="12"/>
        <v>0</v>
      </c>
      <c r="L52" s="23">
        <f t="shared" si="13"/>
        <v>0</v>
      </c>
      <c r="M52" s="23">
        <f t="shared" si="14"/>
        <v>0</v>
      </c>
      <c r="N52" s="23">
        <f t="shared" si="9"/>
        <v>0</v>
      </c>
      <c r="O52" s="21">
        <f t="shared" si="10"/>
      </c>
      <c r="P52" s="21">
        <f t="shared" si="7"/>
      </c>
      <c r="Q52" s="21">
        <f t="shared" si="11"/>
      </c>
    </row>
    <row r="53" spans="1:20" ht="15.75">
      <c r="A53" s="128"/>
      <c r="B53" s="131"/>
      <c r="C53" s="46" t="s">
        <v>127</v>
      </c>
      <c r="D53" s="24" t="s">
        <v>153</v>
      </c>
      <c r="E53" s="11">
        <v>24410.5</v>
      </c>
      <c r="F53" s="11">
        <v>537127.7</v>
      </c>
      <c r="G53" s="11">
        <f t="shared" si="3"/>
        <v>37367.8</v>
      </c>
      <c r="H53" s="11">
        <v>37367.8</v>
      </c>
      <c r="I53" s="78">
        <v>34662.17</v>
      </c>
      <c r="J53" s="78">
        <v>34662.17</v>
      </c>
      <c r="K53" s="11">
        <f t="shared" si="12"/>
        <v>10251.669999999998</v>
      </c>
      <c r="L53" s="11">
        <f t="shared" si="13"/>
        <v>-2705.6300000000047</v>
      </c>
      <c r="M53" s="11">
        <f t="shared" si="14"/>
        <v>-502465.52999999997</v>
      </c>
      <c r="N53" s="11">
        <f t="shared" si="9"/>
        <v>-2705.6300000000047</v>
      </c>
      <c r="O53" s="12">
        <f t="shared" si="10"/>
        <v>1.419969685176461</v>
      </c>
      <c r="P53" s="12">
        <f t="shared" si="7"/>
        <v>0.9275946135442813</v>
      </c>
      <c r="Q53" s="12">
        <f t="shared" si="11"/>
        <v>0.06453245662065092</v>
      </c>
      <c r="S53" s="69"/>
      <c r="T53" s="69"/>
    </row>
    <row r="54" spans="1:20" ht="15.75">
      <c r="A54" s="140"/>
      <c r="B54" s="141"/>
      <c r="C54" s="46" t="s">
        <v>128</v>
      </c>
      <c r="D54" s="24" t="s">
        <v>124</v>
      </c>
      <c r="E54" s="25">
        <v>25282.29</v>
      </c>
      <c r="F54" s="25">
        <v>354489</v>
      </c>
      <c r="G54" s="25">
        <f t="shared" si="3"/>
        <v>32087.5</v>
      </c>
      <c r="H54" s="25">
        <v>32087.5</v>
      </c>
      <c r="I54" s="78">
        <v>25159.86</v>
      </c>
      <c r="J54" s="78">
        <v>25159.86</v>
      </c>
      <c r="K54" s="25">
        <f t="shared" si="12"/>
        <v>-122.43000000000029</v>
      </c>
      <c r="L54" s="25">
        <f t="shared" si="13"/>
        <v>-6927.639999999999</v>
      </c>
      <c r="M54" s="25">
        <f t="shared" si="14"/>
        <v>-329329.14</v>
      </c>
      <c r="N54" s="25">
        <f t="shared" si="9"/>
        <v>-6927.639999999999</v>
      </c>
      <c r="O54" s="12">
        <f t="shared" si="10"/>
        <v>0.9951574798010782</v>
      </c>
      <c r="P54" s="12">
        <f t="shared" si="7"/>
        <v>0.7841015971951695</v>
      </c>
      <c r="Q54" s="12">
        <f t="shared" si="11"/>
        <v>0.07097500909760246</v>
      </c>
      <c r="S54" s="69"/>
      <c r="T54" s="69"/>
    </row>
    <row r="55" spans="1:20" ht="15.75">
      <c r="A55" s="128"/>
      <c r="B55" s="131"/>
      <c r="C55" s="46" t="s">
        <v>129</v>
      </c>
      <c r="D55" s="24" t="s">
        <v>125</v>
      </c>
      <c r="E55" s="11">
        <v>155488.3</v>
      </c>
      <c r="F55" s="11">
        <v>3510723.4</v>
      </c>
      <c r="G55" s="11">
        <f t="shared" si="3"/>
        <v>228600.5</v>
      </c>
      <c r="H55" s="11">
        <v>228600.5</v>
      </c>
      <c r="I55" s="78">
        <v>159569.06000000003</v>
      </c>
      <c r="J55" s="78">
        <v>159569.06000000003</v>
      </c>
      <c r="K55" s="11">
        <f t="shared" si="12"/>
        <v>4080.7600000000384</v>
      </c>
      <c r="L55" s="11">
        <f t="shared" si="13"/>
        <v>-69031.43999999997</v>
      </c>
      <c r="M55" s="11">
        <f t="shared" si="14"/>
        <v>-3351154.34</v>
      </c>
      <c r="N55" s="11">
        <f t="shared" si="9"/>
        <v>-69031.43999999997</v>
      </c>
      <c r="O55" s="12">
        <f t="shared" si="10"/>
        <v>1.026244804271447</v>
      </c>
      <c r="P55" s="12">
        <f t="shared" si="7"/>
        <v>0.6980258573362702</v>
      </c>
      <c r="Q55" s="12">
        <f t="shared" si="11"/>
        <v>0.04545190316047115</v>
      </c>
      <c r="S55" s="70"/>
      <c r="T55" s="70"/>
    </row>
    <row r="56" spans="1:17" ht="15.75">
      <c r="A56" s="140"/>
      <c r="B56" s="141"/>
      <c r="C56" s="46" t="s">
        <v>150</v>
      </c>
      <c r="D56" s="24" t="s">
        <v>126</v>
      </c>
      <c r="E56" s="11">
        <v>16.8</v>
      </c>
      <c r="F56" s="11"/>
      <c r="G56" s="11">
        <f t="shared" si="3"/>
        <v>0</v>
      </c>
      <c r="H56" s="11"/>
      <c r="I56" s="78">
        <v>69.3</v>
      </c>
      <c r="J56" s="78">
        <v>69.3</v>
      </c>
      <c r="K56" s="11">
        <f t="shared" si="12"/>
        <v>52.5</v>
      </c>
      <c r="L56" s="11">
        <f t="shared" si="13"/>
        <v>69.3</v>
      </c>
      <c r="M56" s="11">
        <f t="shared" si="14"/>
        <v>69.3</v>
      </c>
      <c r="N56" s="11">
        <f t="shared" si="9"/>
        <v>69.3</v>
      </c>
      <c r="O56" s="12">
        <f t="shared" si="10"/>
        <v>4.125</v>
      </c>
      <c r="P56" s="12">
        <f t="shared" si="7"/>
      </c>
      <c r="Q56" s="12">
        <f t="shared" si="11"/>
      </c>
    </row>
    <row r="57" spans="1:17" s="7" customFormat="1" ht="15.75">
      <c r="A57" s="128"/>
      <c r="B57" s="131"/>
      <c r="C57" s="101"/>
      <c r="D57" s="102" t="s">
        <v>15</v>
      </c>
      <c r="E57" s="59">
        <f>SUM(E52:E56)</f>
        <v>205197.88999999998</v>
      </c>
      <c r="F57" s="59">
        <f>SUM(F52:F56)</f>
        <v>4402340.1</v>
      </c>
      <c r="G57" s="59">
        <f t="shared" si="3"/>
        <v>298055.8</v>
      </c>
      <c r="H57" s="59">
        <f>SUM(H52:H56)</f>
        <v>298055.8</v>
      </c>
      <c r="I57" s="59">
        <f>SUM(I52:I56)</f>
        <v>219460.39</v>
      </c>
      <c r="J57" s="59">
        <f>SUM(J52:J56)</f>
        <v>219460.39</v>
      </c>
      <c r="K57" s="59">
        <f t="shared" si="12"/>
        <v>14262.50000000003</v>
      </c>
      <c r="L57" s="59">
        <f t="shared" si="13"/>
        <v>-78595.40999999997</v>
      </c>
      <c r="M57" s="59">
        <f t="shared" si="14"/>
        <v>-4182879.7099999995</v>
      </c>
      <c r="N57" s="59">
        <f t="shared" si="9"/>
        <v>-78595.40999999997</v>
      </c>
      <c r="O57" s="12">
        <f t="shared" si="10"/>
        <v>1.069506075330502</v>
      </c>
      <c r="P57" s="12">
        <f t="shared" si="7"/>
        <v>0.7363063896089257</v>
      </c>
      <c r="Q57" s="12">
        <f t="shared" si="11"/>
        <v>0.049850848642975135</v>
      </c>
    </row>
    <row r="58" spans="1:17" ht="15.75">
      <c r="A58" s="142">
        <v>991</v>
      </c>
      <c r="B58" s="142" t="s">
        <v>83</v>
      </c>
      <c r="C58" s="41" t="s">
        <v>50</v>
      </c>
      <c r="D58" s="14" t="s">
        <v>84</v>
      </c>
      <c r="E58" s="9">
        <v>2200.89</v>
      </c>
      <c r="F58" s="9">
        <v>54298.2</v>
      </c>
      <c r="G58" s="9">
        <f t="shared" si="3"/>
        <v>3500</v>
      </c>
      <c r="H58" s="9">
        <v>3500</v>
      </c>
      <c r="I58" s="79">
        <v>2485.25</v>
      </c>
      <c r="J58" s="79">
        <v>2485.25</v>
      </c>
      <c r="K58" s="9">
        <f t="shared" si="12"/>
        <v>284.3600000000001</v>
      </c>
      <c r="L58" s="9">
        <f t="shared" si="13"/>
        <v>-1014.75</v>
      </c>
      <c r="M58" s="9">
        <f t="shared" si="14"/>
        <v>-51812.95</v>
      </c>
      <c r="N58" s="9">
        <f t="shared" si="9"/>
        <v>-1014.75</v>
      </c>
      <c r="O58" s="12">
        <f t="shared" si="10"/>
        <v>1.1292022772605628</v>
      </c>
      <c r="P58" s="12">
        <f t="shared" si="7"/>
        <v>0.7100714285714286</v>
      </c>
      <c r="Q58" s="12">
        <f t="shared" si="11"/>
        <v>0.04577039386204331</v>
      </c>
    </row>
    <row r="59" spans="1:17" ht="15.75" hidden="1">
      <c r="A59" s="142"/>
      <c r="B59" s="142"/>
      <c r="C59" s="40" t="s">
        <v>85</v>
      </c>
      <c r="D59" s="10" t="s">
        <v>86</v>
      </c>
      <c r="E59" s="9"/>
      <c r="F59" s="9"/>
      <c r="G59" s="9">
        <f t="shared" si="3"/>
        <v>0</v>
      </c>
      <c r="H59" s="9"/>
      <c r="I59" s="79">
        <v>0</v>
      </c>
      <c r="J59" s="79">
        <v>0</v>
      </c>
      <c r="K59" s="9">
        <f t="shared" si="12"/>
        <v>0</v>
      </c>
      <c r="L59" s="9">
        <f t="shared" si="13"/>
        <v>0</v>
      </c>
      <c r="M59" s="9">
        <f t="shared" si="14"/>
        <v>0</v>
      </c>
      <c r="N59" s="9">
        <f t="shared" si="9"/>
        <v>0</v>
      </c>
      <c r="O59" s="12">
        <f t="shared" si="10"/>
      </c>
      <c r="P59" s="12">
        <f t="shared" si="7"/>
      </c>
      <c r="Q59" s="12">
        <f t="shared" si="11"/>
      </c>
    </row>
    <row r="60" spans="1:17" ht="15.75" hidden="1">
      <c r="A60" s="142"/>
      <c r="B60" s="142"/>
      <c r="C60" s="40" t="s">
        <v>52</v>
      </c>
      <c r="D60" s="10" t="s">
        <v>87</v>
      </c>
      <c r="E60" s="5">
        <v>0</v>
      </c>
      <c r="F60" s="5">
        <v>0</v>
      </c>
      <c r="G60" s="5">
        <f t="shared" si="3"/>
        <v>0</v>
      </c>
      <c r="H60" s="5">
        <v>0</v>
      </c>
      <c r="I60" s="79">
        <v>0</v>
      </c>
      <c r="J60" s="79">
        <v>0</v>
      </c>
      <c r="K60" s="5">
        <f t="shared" si="12"/>
        <v>0</v>
      </c>
      <c r="L60" s="5">
        <f t="shared" si="13"/>
        <v>0</v>
      </c>
      <c r="M60" s="5">
        <f t="shared" si="14"/>
        <v>0</v>
      </c>
      <c r="N60" s="5">
        <f t="shared" si="9"/>
        <v>0</v>
      </c>
      <c r="O60" s="12">
        <f t="shared" si="10"/>
      </c>
      <c r="P60" s="12">
        <f t="shared" si="7"/>
      </c>
      <c r="Q60" s="12">
        <f t="shared" si="11"/>
      </c>
    </row>
    <row r="61" spans="1:17" s="7" customFormat="1" ht="15.75">
      <c r="A61" s="142"/>
      <c r="B61" s="142"/>
      <c r="C61" s="99"/>
      <c r="D61" s="98" t="s">
        <v>15</v>
      </c>
      <c r="E61" s="55">
        <f>SUM(E58:E60)</f>
        <v>2200.89</v>
      </c>
      <c r="F61" s="55">
        <f>SUM(F58:F60)</f>
        <v>54298.2</v>
      </c>
      <c r="G61" s="55">
        <f t="shared" si="3"/>
        <v>3500</v>
      </c>
      <c r="H61" s="55">
        <f>SUM(H58:H60)</f>
        <v>3500</v>
      </c>
      <c r="I61" s="55">
        <f>SUM(I58:I60)</f>
        <v>2485.25</v>
      </c>
      <c r="J61" s="55">
        <f>SUM(J58:J60)</f>
        <v>2485.25</v>
      </c>
      <c r="K61" s="55">
        <f t="shared" si="12"/>
        <v>284.3600000000001</v>
      </c>
      <c r="L61" s="55">
        <f t="shared" si="13"/>
        <v>-1014.75</v>
      </c>
      <c r="M61" s="55">
        <f t="shared" si="14"/>
        <v>-51812.95</v>
      </c>
      <c r="N61" s="55">
        <f t="shared" si="9"/>
        <v>-1014.75</v>
      </c>
      <c r="O61" s="57">
        <f t="shared" si="10"/>
        <v>1.1292022772605628</v>
      </c>
      <c r="P61" s="57">
        <f t="shared" si="7"/>
        <v>0.7100714285714286</v>
      </c>
      <c r="Q61" s="57">
        <f t="shared" si="11"/>
        <v>0.04577039386204331</v>
      </c>
    </row>
    <row r="62" spans="1:17" ht="15.75">
      <c r="A62" s="124" t="s">
        <v>88</v>
      </c>
      <c r="B62" s="125" t="s">
        <v>89</v>
      </c>
      <c r="C62" s="40" t="s">
        <v>90</v>
      </c>
      <c r="D62" s="10" t="s">
        <v>91</v>
      </c>
      <c r="E62" s="9">
        <v>180.11</v>
      </c>
      <c r="F62" s="9">
        <v>7767.5</v>
      </c>
      <c r="G62" s="9">
        <f t="shared" si="3"/>
        <v>54.8</v>
      </c>
      <c r="H62" s="9">
        <v>54.8</v>
      </c>
      <c r="I62" s="77">
        <v>62.74</v>
      </c>
      <c r="J62" s="77">
        <v>62.74</v>
      </c>
      <c r="K62" s="9">
        <f t="shared" si="12"/>
        <v>-117.37</v>
      </c>
      <c r="L62" s="9">
        <f t="shared" si="13"/>
        <v>7.940000000000005</v>
      </c>
      <c r="M62" s="9">
        <f t="shared" si="14"/>
        <v>-7704.76</v>
      </c>
      <c r="N62" s="9">
        <f t="shared" si="9"/>
        <v>7.940000000000005</v>
      </c>
      <c r="O62" s="12">
        <f t="shared" si="10"/>
        <v>0.348342679473655</v>
      </c>
      <c r="P62" s="12">
        <f t="shared" si="7"/>
        <v>1.1448905109489051</v>
      </c>
      <c r="Q62" s="12">
        <f t="shared" si="11"/>
        <v>0.008077244930801416</v>
      </c>
    </row>
    <row r="63" spans="1:17" s="7" customFormat="1" ht="15.75">
      <c r="A63" s="124"/>
      <c r="B63" s="125"/>
      <c r="C63" s="92"/>
      <c r="D63" s="98" t="s">
        <v>15</v>
      </c>
      <c r="E63" s="60">
        <f>E62</f>
        <v>180.11</v>
      </c>
      <c r="F63" s="60">
        <f aca="true" t="shared" si="15" ref="F63:K63">F62</f>
        <v>7767.5</v>
      </c>
      <c r="G63" s="60">
        <f t="shared" si="3"/>
        <v>54.8</v>
      </c>
      <c r="H63" s="60">
        <f t="shared" si="15"/>
        <v>54.8</v>
      </c>
      <c r="I63" s="60">
        <f t="shared" si="15"/>
        <v>62.74</v>
      </c>
      <c r="J63" s="60">
        <f t="shared" si="15"/>
        <v>62.74</v>
      </c>
      <c r="K63" s="60">
        <f t="shared" si="15"/>
        <v>-117.37</v>
      </c>
      <c r="L63" s="60">
        <f t="shared" si="13"/>
        <v>7.940000000000005</v>
      </c>
      <c r="M63" s="60">
        <f t="shared" si="14"/>
        <v>-7704.76</v>
      </c>
      <c r="N63" s="60">
        <f t="shared" si="9"/>
        <v>7.940000000000005</v>
      </c>
      <c r="O63" s="57">
        <f t="shared" si="10"/>
        <v>0.348342679473655</v>
      </c>
      <c r="P63" s="57">
        <f t="shared" si="7"/>
        <v>1.1448905109489051</v>
      </c>
      <c r="Q63" s="57">
        <f t="shared" si="11"/>
        <v>0.008077244930801416</v>
      </c>
    </row>
    <row r="64" spans="1:17" ht="15.75" hidden="1">
      <c r="A64" s="124" t="s">
        <v>92</v>
      </c>
      <c r="B64" s="125" t="s">
        <v>93</v>
      </c>
      <c r="C64" s="40" t="s">
        <v>52</v>
      </c>
      <c r="D64" s="10" t="s">
        <v>87</v>
      </c>
      <c r="E64" s="9">
        <v>0</v>
      </c>
      <c r="F64" s="9">
        <v>0</v>
      </c>
      <c r="G64" s="9">
        <f t="shared" si="3"/>
        <v>0</v>
      </c>
      <c r="H64" s="9">
        <v>0</v>
      </c>
      <c r="I64" s="25">
        <v>0</v>
      </c>
      <c r="J64" s="25">
        <v>0</v>
      </c>
      <c r="K64" s="9">
        <f aca="true" t="shared" si="16" ref="K64:K89">I64-E64</f>
        <v>0</v>
      </c>
      <c r="L64" s="9">
        <f t="shared" si="13"/>
        <v>0</v>
      </c>
      <c r="M64" s="9">
        <f t="shared" si="14"/>
        <v>0</v>
      </c>
      <c r="N64" s="9">
        <f t="shared" si="9"/>
        <v>0</v>
      </c>
      <c r="O64" s="12">
        <f t="shared" si="10"/>
      </c>
      <c r="P64" s="12">
        <f t="shared" si="7"/>
      </c>
      <c r="Q64" s="12">
        <f t="shared" si="11"/>
      </c>
    </row>
    <row r="65" spans="1:17" s="7" customFormat="1" ht="15.75" hidden="1">
      <c r="A65" s="124"/>
      <c r="B65" s="125"/>
      <c r="C65" s="92"/>
      <c r="D65" s="98" t="s">
        <v>15</v>
      </c>
      <c r="E65" s="54">
        <f>E64</f>
        <v>0</v>
      </c>
      <c r="F65" s="54">
        <f>F64</f>
        <v>0</v>
      </c>
      <c r="G65" s="54">
        <f t="shared" si="3"/>
        <v>0</v>
      </c>
      <c r="H65" s="54">
        <f>H64</f>
        <v>0</v>
      </c>
      <c r="I65" s="54">
        <v>0</v>
      </c>
      <c r="J65" s="54">
        <v>0</v>
      </c>
      <c r="K65" s="54">
        <f t="shared" si="16"/>
        <v>0</v>
      </c>
      <c r="L65" s="54">
        <f t="shared" si="13"/>
        <v>0</v>
      </c>
      <c r="M65" s="54">
        <f t="shared" si="14"/>
        <v>0</v>
      </c>
      <c r="N65" s="54">
        <f t="shared" si="9"/>
        <v>0</v>
      </c>
      <c r="O65" s="12">
        <f t="shared" si="10"/>
      </c>
      <c r="P65" s="12">
        <f t="shared" si="7"/>
      </c>
      <c r="Q65" s="12">
        <f t="shared" si="11"/>
      </c>
    </row>
    <row r="66" spans="1:17" ht="15.75">
      <c r="A66" s="125"/>
      <c r="B66" s="125" t="s">
        <v>94</v>
      </c>
      <c r="C66" s="40" t="s">
        <v>121</v>
      </c>
      <c r="D66" s="15" t="s">
        <v>95</v>
      </c>
      <c r="E66" s="9">
        <v>20.64</v>
      </c>
      <c r="F66" s="9">
        <v>41.2</v>
      </c>
      <c r="G66" s="9">
        <f t="shared" si="3"/>
        <v>8.9</v>
      </c>
      <c r="H66" s="9">
        <v>8.9</v>
      </c>
      <c r="I66" s="77">
        <v>10.61</v>
      </c>
      <c r="J66" s="77">
        <v>10.61</v>
      </c>
      <c r="K66" s="9">
        <f t="shared" si="16"/>
        <v>-10.030000000000001</v>
      </c>
      <c r="L66" s="9">
        <f t="shared" si="13"/>
        <v>1.709999999999999</v>
      </c>
      <c r="M66" s="9">
        <f t="shared" si="14"/>
        <v>-30.590000000000003</v>
      </c>
      <c r="N66" s="9">
        <f t="shared" si="9"/>
        <v>1.709999999999999</v>
      </c>
      <c r="O66" s="12">
        <f t="shared" si="10"/>
        <v>0.5140503875968991</v>
      </c>
      <c r="P66" s="12">
        <f t="shared" si="7"/>
        <v>1.1921348314606741</v>
      </c>
      <c r="Q66" s="12">
        <f t="shared" si="11"/>
        <v>0.25752427184466015</v>
      </c>
    </row>
    <row r="67" spans="1:17" ht="15.75">
      <c r="A67" s="138"/>
      <c r="B67" s="138"/>
      <c r="C67" s="40" t="s">
        <v>122</v>
      </c>
      <c r="D67" s="10" t="s">
        <v>171</v>
      </c>
      <c r="E67" s="26">
        <v>8.1</v>
      </c>
      <c r="F67" s="26">
        <v>47.1</v>
      </c>
      <c r="G67" s="26">
        <f t="shared" si="3"/>
        <v>0</v>
      </c>
      <c r="H67" s="26"/>
      <c r="I67" s="81">
        <v>-10.65</v>
      </c>
      <c r="J67" s="81">
        <v>-10.65</v>
      </c>
      <c r="K67" s="26">
        <f t="shared" si="16"/>
        <v>-18.75</v>
      </c>
      <c r="L67" s="26">
        <f t="shared" si="13"/>
        <v>-10.65</v>
      </c>
      <c r="M67" s="26">
        <f t="shared" si="14"/>
        <v>-57.75</v>
      </c>
      <c r="N67" s="26">
        <f t="shared" si="9"/>
        <v>-10.65</v>
      </c>
      <c r="O67" s="12">
        <f t="shared" si="10"/>
        <v>-1.3148148148148149</v>
      </c>
      <c r="P67" s="12">
        <f t="shared" si="7"/>
      </c>
      <c r="Q67" s="12">
        <f t="shared" si="11"/>
        <v>-0.22611464968152867</v>
      </c>
    </row>
    <row r="68" spans="1:17" ht="15.75">
      <c r="A68" s="125"/>
      <c r="B68" s="125"/>
      <c r="C68" s="40" t="s">
        <v>48</v>
      </c>
      <c r="D68" s="10" t="s">
        <v>49</v>
      </c>
      <c r="E68" s="9"/>
      <c r="F68" s="9">
        <v>6100</v>
      </c>
      <c r="G68" s="9">
        <f t="shared" si="3"/>
        <v>0</v>
      </c>
      <c r="H68" s="9"/>
      <c r="I68" s="77">
        <v>0</v>
      </c>
      <c r="J68" s="77">
        <v>0</v>
      </c>
      <c r="K68" s="9">
        <f t="shared" si="16"/>
        <v>0</v>
      </c>
      <c r="L68" s="9">
        <f t="shared" si="13"/>
        <v>0</v>
      </c>
      <c r="M68" s="9">
        <f t="shared" si="14"/>
        <v>-6100</v>
      </c>
      <c r="N68" s="9">
        <f t="shared" si="9"/>
        <v>0</v>
      </c>
      <c r="O68" s="12">
        <f t="shared" si="10"/>
      </c>
      <c r="P68" s="12">
        <f t="shared" si="7"/>
      </c>
      <c r="Q68" s="12">
        <f t="shared" si="11"/>
        <v>0</v>
      </c>
    </row>
    <row r="69" spans="1:17" ht="15.75">
      <c r="A69" s="125"/>
      <c r="B69" s="125"/>
      <c r="C69" s="40" t="s">
        <v>130</v>
      </c>
      <c r="D69" s="10" t="s">
        <v>78</v>
      </c>
      <c r="E69" s="5">
        <v>289.0300000000001</v>
      </c>
      <c r="F69" s="5">
        <v>680.5</v>
      </c>
      <c r="G69" s="5">
        <f t="shared" si="3"/>
        <v>40</v>
      </c>
      <c r="H69" s="5">
        <v>40</v>
      </c>
      <c r="I69" s="79">
        <v>7411.5599999999995</v>
      </c>
      <c r="J69" s="79">
        <v>7411.5599999999995</v>
      </c>
      <c r="K69" s="5">
        <f t="shared" si="16"/>
        <v>7122.53</v>
      </c>
      <c r="L69" s="5">
        <f t="shared" si="13"/>
        <v>7371.5599999999995</v>
      </c>
      <c r="M69" s="5">
        <f t="shared" si="14"/>
        <v>6731.0599999999995</v>
      </c>
      <c r="N69" s="5">
        <f aca="true" t="shared" si="17" ref="N69:N88">J69-H69</f>
        <v>7371.5599999999995</v>
      </c>
      <c r="O69" s="12">
        <f aca="true" t="shared" si="18" ref="O69:O88">_xlfn.IFERROR(I69/E69,"")</f>
        <v>25.642874442099426</v>
      </c>
      <c r="P69" s="12">
        <f t="shared" si="7"/>
        <v>185.289</v>
      </c>
      <c r="Q69" s="12">
        <f aca="true" t="shared" si="19" ref="Q69:Q89">_xlfn.IFERROR(I69/F69,"")</f>
        <v>10.891344599559147</v>
      </c>
    </row>
    <row r="70" spans="1:17" ht="15.75">
      <c r="A70" s="125"/>
      <c r="B70" s="125"/>
      <c r="C70" s="40" t="s">
        <v>81</v>
      </c>
      <c r="D70" s="10" t="s">
        <v>82</v>
      </c>
      <c r="E70" s="5">
        <v>1723.6999999999998</v>
      </c>
      <c r="F70" s="5">
        <v>86939.9</v>
      </c>
      <c r="G70" s="5">
        <f aca="true" t="shared" si="20" ref="G70:G89">H70</f>
        <v>3665.7999999999997</v>
      </c>
      <c r="H70" s="5">
        <v>3665.7999999999997</v>
      </c>
      <c r="I70" s="78">
        <f>2872.45-0.15</f>
        <v>2872.2999999999997</v>
      </c>
      <c r="J70" s="78">
        <f>2872.45-0.15</f>
        <v>2872.2999999999997</v>
      </c>
      <c r="K70" s="5">
        <f t="shared" si="16"/>
        <v>1148.6</v>
      </c>
      <c r="L70" s="5">
        <f aca="true" t="shared" si="21" ref="L70:L89">I70-G70</f>
        <v>-793.5</v>
      </c>
      <c r="M70" s="5">
        <f aca="true" t="shared" si="22" ref="M70:M89">I70-F70</f>
        <v>-84067.59999999999</v>
      </c>
      <c r="N70" s="5">
        <f t="shared" si="17"/>
        <v>-793.5</v>
      </c>
      <c r="O70" s="12">
        <f t="shared" si="18"/>
        <v>1.6663572547427046</v>
      </c>
      <c r="P70" s="12">
        <f aca="true" t="shared" si="23" ref="P70:P89">_xlfn.IFERROR(J70/H70,"")</f>
        <v>0.7835397457580883</v>
      </c>
      <c r="Q70" s="12">
        <f t="shared" si="19"/>
        <v>0.03303776516881202</v>
      </c>
    </row>
    <row r="71" spans="1:17" ht="15.75">
      <c r="A71" s="125"/>
      <c r="B71" s="125"/>
      <c r="C71" s="40" t="s">
        <v>96</v>
      </c>
      <c r="D71" s="10" t="s">
        <v>97</v>
      </c>
      <c r="E71" s="5">
        <v>6.419999999999995</v>
      </c>
      <c r="F71" s="5"/>
      <c r="G71" s="5">
        <f t="shared" si="20"/>
        <v>0</v>
      </c>
      <c r="H71" s="5"/>
      <c r="I71" s="78">
        <v>-6178.919999999998</v>
      </c>
      <c r="J71" s="78">
        <v>-6178.919999999998</v>
      </c>
      <c r="K71" s="5">
        <f t="shared" si="16"/>
        <v>-6185.339999999998</v>
      </c>
      <c r="L71" s="5">
        <f t="shared" si="21"/>
        <v>-6178.919999999998</v>
      </c>
      <c r="M71" s="5">
        <f t="shared" si="22"/>
        <v>-6178.919999999998</v>
      </c>
      <c r="N71" s="5">
        <f t="shared" si="17"/>
        <v>-6178.919999999998</v>
      </c>
      <c r="O71" s="12">
        <f t="shared" si="18"/>
        <v>-962.4485981308417</v>
      </c>
      <c r="P71" s="12">
        <f t="shared" si="23"/>
      </c>
      <c r="Q71" s="12">
        <f t="shared" si="19"/>
      </c>
    </row>
    <row r="72" spans="1:17" ht="15.75">
      <c r="A72" s="125"/>
      <c r="B72" s="125"/>
      <c r="C72" s="40" t="s">
        <v>52</v>
      </c>
      <c r="D72" s="10" t="s">
        <v>66</v>
      </c>
      <c r="E72" s="5">
        <f>0.09+6302.02</f>
        <v>6302.110000000001</v>
      </c>
      <c r="F72" s="5">
        <v>16333.1</v>
      </c>
      <c r="G72" s="5">
        <f t="shared" si="20"/>
        <v>300</v>
      </c>
      <c r="H72" s="5">
        <v>300</v>
      </c>
      <c r="I72" s="78">
        <v>4786.919999999999</v>
      </c>
      <c r="J72" s="78">
        <v>4786.919999999999</v>
      </c>
      <c r="K72" s="5">
        <f t="shared" si="16"/>
        <v>-1515.1900000000014</v>
      </c>
      <c r="L72" s="5">
        <f t="shared" si="21"/>
        <v>4486.919999999999</v>
      </c>
      <c r="M72" s="5">
        <f t="shared" si="22"/>
        <v>-11546.18</v>
      </c>
      <c r="N72" s="5">
        <f t="shared" si="17"/>
        <v>4486.919999999999</v>
      </c>
      <c r="O72" s="12">
        <f t="shared" si="18"/>
        <v>0.759574174363824</v>
      </c>
      <c r="P72" s="12">
        <f t="shared" si="23"/>
        <v>15.956399999999997</v>
      </c>
      <c r="Q72" s="12">
        <f t="shared" si="19"/>
        <v>0.2930809215641855</v>
      </c>
    </row>
    <row r="73" spans="1:17" ht="31.5" hidden="1">
      <c r="A73" s="154"/>
      <c r="B73" s="154"/>
      <c r="C73" s="47" t="s">
        <v>137</v>
      </c>
      <c r="D73" s="27" t="s">
        <v>138</v>
      </c>
      <c r="E73" s="5"/>
      <c r="F73" s="5"/>
      <c r="G73" s="5">
        <f t="shared" si="20"/>
        <v>0</v>
      </c>
      <c r="H73" s="5"/>
      <c r="I73" s="78">
        <v>0</v>
      </c>
      <c r="J73" s="78">
        <v>0</v>
      </c>
      <c r="K73" s="5">
        <f t="shared" si="16"/>
        <v>0</v>
      </c>
      <c r="L73" s="5">
        <f t="shared" si="21"/>
        <v>0</v>
      </c>
      <c r="M73" s="5">
        <f t="shared" si="22"/>
        <v>0</v>
      </c>
      <c r="N73" s="5">
        <f t="shared" si="17"/>
        <v>0</v>
      </c>
      <c r="O73" s="12">
        <f t="shared" si="18"/>
      </c>
      <c r="P73" s="12">
        <f t="shared" si="23"/>
      </c>
      <c r="Q73" s="12">
        <f t="shared" si="19"/>
      </c>
    </row>
    <row r="74" spans="1:17" s="7" customFormat="1" ht="15.75">
      <c r="A74" s="125"/>
      <c r="B74" s="125"/>
      <c r="C74" s="92"/>
      <c r="D74" s="98" t="s">
        <v>98</v>
      </c>
      <c r="E74" s="55">
        <f>SUM(E66:E73)</f>
        <v>8350</v>
      </c>
      <c r="F74" s="60">
        <f>SUM(F66:F73)</f>
        <v>110141.8</v>
      </c>
      <c r="G74" s="60">
        <f t="shared" si="20"/>
        <v>4014.7</v>
      </c>
      <c r="H74" s="60">
        <f>SUM(H66:H73)</f>
        <v>4014.7</v>
      </c>
      <c r="I74" s="60">
        <f>SUM(I66:I73)</f>
        <v>8891.82</v>
      </c>
      <c r="J74" s="60">
        <f>SUM(J66:J73)</f>
        <v>8891.82</v>
      </c>
      <c r="K74" s="60">
        <f t="shared" si="16"/>
        <v>541.8199999999997</v>
      </c>
      <c r="L74" s="60">
        <f t="shared" si="21"/>
        <v>4877.12</v>
      </c>
      <c r="M74" s="60">
        <f t="shared" si="22"/>
        <v>-101249.98000000001</v>
      </c>
      <c r="N74" s="60">
        <f t="shared" si="17"/>
        <v>4877.12</v>
      </c>
      <c r="O74" s="57">
        <f t="shared" si="18"/>
        <v>1.064888622754491</v>
      </c>
      <c r="P74" s="57">
        <f t="shared" si="23"/>
        <v>2.214815552843301</v>
      </c>
      <c r="Q74" s="57">
        <f t="shared" si="19"/>
        <v>0.08073065811526595</v>
      </c>
    </row>
    <row r="75" spans="1:17" s="3" customFormat="1" ht="15.75">
      <c r="A75" s="144" t="s">
        <v>99</v>
      </c>
      <c r="B75" s="144"/>
      <c r="C75" s="144"/>
      <c r="D75" s="144"/>
      <c r="E75" s="28">
        <f aca="true" t="shared" si="24" ref="E75:J75">E5+E24</f>
        <v>890644.0499999999</v>
      </c>
      <c r="F75" s="82">
        <f t="shared" si="24"/>
        <v>25311787.700000007</v>
      </c>
      <c r="G75" s="82">
        <f t="shared" si="20"/>
        <v>368256.5</v>
      </c>
      <c r="H75" s="82">
        <f t="shared" si="24"/>
        <v>368256.5</v>
      </c>
      <c r="I75" s="82">
        <f t="shared" si="24"/>
        <v>687410.4</v>
      </c>
      <c r="J75" s="82">
        <f t="shared" si="24"/>
        <v>687410.4</v>
      </c>
      <c r="K75" s="82">
        <f t="shared" si="16"/>
        <v>-203233.6499999999</v>
      </c>
      <c r="L75" s="82">
        <f t="shared" si="21"/>
        <v>319153.9</v>
      </c>
      <c r="M75" s="82">
        <f t="shared" si="22"/>
        <v>-24624377.30000001</v>
      </c>
      <c r="N75" s="82">
        <f t="shared" si="17"/>
        <v>319153.9</v>
      </c>
      <c r="O75" s="29">
        <f t="shared" si="18"/>
        <v>0.771812712384931</v>
      </c>
      <c r="P75" s="29">
        <f t="shared" si="23"/>
        <v>1.8666619598024747</v>
      </c>
      <c r="Q75" s="29">
        <f t="shared" si="19"/>
        <v>0.02715771829897261</v>
      </c>
    </row>
    <row r="76" spans="1:17" s="3" customFormat="1" ht="15.75" hidden="1">
      <c r="A76" s="151" t="s">
        <v>120</v>
      </c>
      <c r="B76" s="152"/>
      <c r="C76" s="152"/>
      <c r="D76" s="153"/>
      <c r="E76" s="28">
        <f>E75-E55-E53-E54</f>
        <v>685462.96</v>
      </c>
      <c r="F76" s="28">
        <f>F75-F55-F53-F54</f>
        <v>20909447.60000001</v>
      </c>
      <c r="G76" s="28">
        <f t="shared" si="20"/>
        <v>70200.7</v>
      </c>
      <c r="H76" s="28">
        <f>H75-H55-H53-H54</f>
        <v>70200.7</v>
      </c>
      <c r="I76" s="28">
        <v>468019.31</v>
      </c>
      <c r="J76" s="28">
        <v>468019.31</v>
      </c>
      <c r="K76" s="28">
        <f t="shared" si="16"/>
        <v>-217443.64999999997</v>
      </c>
      <c r="L76" s="28">
        <f t="shared" si="21"/>
        <v>397818.61</v>
      </c>
      <c r="M76" s="28">
        <f t="shared" si="22"/>
        <v>-20441428.29000001</v>
      </c>
      <c r="N76" s="28">
        <f t="shared" si="17"/>
        <v>397818.61</v>
      </c>
      <c r="O76" s="29">
        <f t="shared" si="18"/>
        <v>0.6827784100836025</v>
      </c>
      <c r="P76" s="29">
        <f t="shared" si="23"/>
        <v>6.666875259078614</v>
      </c>
      <c r="Q76" s="29">
        <f t="shared" si="19"/>
        <v>0.022383150380309417</v>
      </c>
    </row>
    <row r="77" spans="1:17" s="3" customFormat="1" ht="15.75">
      <c r="A77" s="145"/>
      <c r="B77" s="111"/>
      <c r="C77" s="87"/>
      <c r="D77" s="97" t="s">
        <v>100</v>
      </c>
      <c r="E77" s="103">
        <f>E87</f>
        <v>-17997.399999999907</v>
      </c>
      <c r="F77" s="82">
        <f>F87</f>
        <v>22352525.499999996</v>
      </c>
      <c r="G77" s="82">
        <f t="shared" si="20"/>
        <v>854502.7899999999</v>
      </c>
      <c r="H77" s="82">
        <f>H87</f>
        <v>854502.7899999999</v>
      </c>
      <c r="I77" s="82">
        <f>I87</f>
        <v>1184611.9599999997</v>
      </c>
      <c r="J77" s="82">
        <f>J87</f>
        <v>1184611.9599999997</v>
      </c>
      <c r="K77" s="82">
        <f t="shared" si="16"/>
        <v>1202609.3599999996</v>
      </c>
      <c r="L77" s="82">
        <f t="shared" si="21"/>
        <v>330109.1699999998</v>
      </c>
      <c r="M77" s="82">
        <f t="shared" si="22"/>
        <v>-21167913.539999995</v>
      </c>
      <c r="N77" s="82">
        <f t="shared" si="17"/>
        <v>330109.1699999998</v>
      </c>
      <c r="O77" s="29">
        <f t="shared" si="18"/>
        <v>-65.82128307422215</v>
      </c>
      <c r="P77" s="29">
        <f t="shared" si="23"/>
        <v>1.3863172523989065</v>
      </c>
      <c r="Q77" s="29">
        <f t="shared" si="19"/>
        <v>0.05299678374150608</v>
      </c>
    </row>
    <row r="78" spans="1:17" s="13" customFormat="1" ht="31.5">
      <c r="A78" s="145"/>
      <c r="B78" s="111"/>
      <c r="C78" s="40" t="s">
        <v>144</v>
      </c>
      <c r="D78" s="30" t="s">
        <v>101</v>
      </c>
      <c r="E78" s="72">
        <v>79902.6</v>
      </c>
      <c r="F78" s="11">
        <v>384548</v>
      </c>
      <c r="G78" s="11">
        <f t="shared" si="20"/>
        <v>258324</v>
      </c>
      <c r="H78" s="11">
        <v>258324</v>
      </c>
      <c r="I78" s="25">
        <v>258324</v>
      </c>
      <c r="J78" s="25">
        <v>258324</v>
      </c>
      <c r="K78" s="5">
        <f>I78-E78</f>
        <v>178421.4</v>
      </c>
      <c r="L78" s="5">
        <f aca="true" t="shared" si="25" ref="L78:L83">I78-G78</f>
        <v>0</v>
      </c>
      <c r="M78" s="5">
        <f t="shared" si="22"/>
        <v>-126224</v>
      </c>
      <c r="N78" s="5">
        <f t="shared" si="17"/>
        <v>0</v>
      </c>
      <c r="O78" s="31">
        <f t="shared" si="18"/>
        <v>3.232986160650592</v>
      </c>
      <c r="P78" s="31">
        <f t="shared" si="23"/>
        <v>1</v>
      </c>
      <c r="Q78" s="31">
        <f t="shared" si="19"/>
        <v>0.6717600923681829</v>
      </c>
    </row>
    <row r="79" spans="1:17" ht="15.75">
      <c r="A79" s="145"/>
      <c r="B79" s="111"/>
      <c r="C79" s="40" t="s">
        <v>145</v>
      </c>
      <c r="D79" s="32" t="s">
        <v>102</v>
      </c>
      <c r="E79" s="72">
        <v>4131.3</v>
      </c>
      <c r="F79" s="11">
        <v>5309242.5</v>
      </c>
      <c r="G79" s="11">
        <f t="shared" si="20"/>
        <v>0</v>
      </c>
      <c r="H79" s="11"/>
      <c r="I79" s="25">
        <v>0</v>
      </c>
      <c r="J79" s="25">
        <v>0</v>
      </c>
      <c r="K79" s="5">
        <f>I79-E79</f>
        <v>-4131.3</v>
      </c>
      <c r="L79" s="5">
        <f>I79-G79</f>
        <v>0</v>
      </c>
      <c r="M79" s="5">
        <f>I79-F79</f>
        <v>-5309242.5</v>
      </c>
      <c r="N79" s="5">
        <f t="shared" si="17"/>
        <v>0</v>
      </c>
      <c r="O79" s="31">
        <f t="shared" si="18"/>
        <v>0</v>
      </c>
      <c r="P79" s="31">
        <f t="shared" si="23"/>
      </c>
      <c r="Q79" s="31">
        <f t="shared" si="19"/>
        <v>0</v>
      </c>
    </row>
    <row r="80" spans="1:17" ht="15.75">
      <c r="A80" s="145"/>
      <c r="B80" s="111"/>
      <c r="C80" s="40" t="s">
        <v>146</v>
      </c>
      <c r="D80" s="32" t="s">
        <v>103</v>
      </c>
      <c r="E80" s="72">
        <v>282867.1099999999</v>
      </c>
      <c r="F80" s="11">
        <v>11808776.699999997</v>
      </c>
      <c r="G80" s="11">
        <f t="shared" si="20"/>
        <v>596178.7899999999</v>
      </c>
      <c r="H80" s="25">
        <v>596178.7899999999</v>
      </c>
      <c r="I80" s="25">
        <v>596178.7899999999</v>
      </c>
      <c r="J80" s="25">
        <v>596178.7899999999</v>
      </c>
      <c r="K80" s="5">
        <f t="shared" si="16"/>
        <v>313311.68</v>
      </c>
      <c r="L80" s="5">
        <f t="shared" si="25"/>
        <v>0</v>
      </c>
      <c r="M80" s="5">
        <f t="shared" si="22"/>
        <v>-11212597.909999998</v>
      </c>
      <c r="N80" s="5">
        <f t="shared" si="17"/>
        <v>0</v>
      </c>
      <c r="O80" s="31">
        <f t="shared" si="18"/>
        <v>2.107628525635236</v>
      </c>
      <c r="P80" s="31">
        <f t="shared" si="23"/>
        <v>1</v>
      </c>
      <c r="Q80" s="31">
        <f t="shared" si="19"/>
        <v>0.0504860753273453</v>
      </c>
    </row>
    <row r="81" spans="1:17" ht="15.75">
      <c r="A81" s="145"/>
      <c r="B81" s="111"/>
      <c r="C81" s="40" t="s">
        <v>147</v>
      </c>
      <c r="D81" s="14" t="s">
        <v>104</v>
      </c>
      <c r="E81" s="72"/>
      <c r="F81" s="11">
        <v>4849958.3</v>
      </c>
      <c r="G81" s="11">
        <f t="shared" si="20"/>
        <v>0</v>
      </c>
      <c r="H81" s="11"/>
      <c r="I81" s="78">
        <v>0</v>
      </c>
      <c r="J81" s="78">
        <v>0</v>
      </c>
      <c r="K81" s="5">
        <f>I81-E81</f>
        <v>0</v>
      </c>
      <c r="L81" s="5">
        <f t="shared" si="25"/>
        <v>0</v>
      </c>
      <c r="M81" s="5">
        <f t="shared" si="22"/>
        <v>-4849958.3</v>
      </c>
      <c r="N81" s="5">
        <f t="shared" si="17"/>
        <v>0</v>
      </c>
      <c r="O81" s="31">
        <f t="shared" si="18"/>
      </c>
      <c r="P81" s="31">
        <f t="shared" si="23"/>
      </c>
      <c r="Q81" s="31">
        <f t="shared" si="19"/>
        <v>0</v>
      </c>
    </row>
    <row r="82" spans="1:17" ht="31.5" hidden="1">
      <c r="A82" s="146"/>
      <c r="B82" s="148"/>
      <c r="C82" s="40" t="s">
        <v>143</v>
      </c>
      <c r="D82" s="14" t="s">
        <v>142</v>
      </c>
      <c r="E82" s="72"/>
      <c r="F82" s="11"/>
      <c r="G82" s="11">
        <f t="shared" si="20"/>
        <v>0</v>
      </c>
      <c r="H82" s="11"/>
      <c r="I82" s="78">
        <v>0</v>
      </c>
      <c r="J82" s="78">
        <v>0</v>
      </c>
      <c r="K82" s="5">
        <f>I82-E82</f>
        <v>0</v>
      </c>
      <c r="L82" s="5">
        <f t="shared" si="25"/>
        <v>0</v>
      </c>
      <c r="M82" s="5">
        <f t="shared" si="22"/>
        <v>0</v>
      </c>
      <c r="N82" s="5">
        <f t="shared" si="17"/>
        <v>0</v>
      </c>
      <c r="O82" s="31">
        <f t="shared" si="18"/>
      </c>
      <c r="P82" s="31">
        <f t="shared" si="23"/>
      </c>
      <c r="Q82" s="31">
        <f t="shared" si="19"/>
      </c>
    </row>
    <row r="83" spans="1:17" ht="15.75" hidden="1">
      <c r="A83" s="145"/>
      <c r="B83" s="111"/>
      <c r="C83" s="40" t="s">
        <v>105</v>
      </c>
      <c r="D83" s="14" t="s">
        <v>106</v>
      </c>
      <c r="E83" s="72"/>
      <c r="F83" s="11"/>
      <c r="G83" s="11">
        <f t="shared" si="20"/>
        <v>0</v>
      </c>
      <c r="H83" s="11"/>
      <c r="I83" s="78">
        <v>0</v>
      </c>
      <c r="J83" s="78">
        <v>0</v>
      </c>
      <c r="K83" s="5">
        <f>I83-E83</f>
        <v>0</v>
      </c>
      <c r="L83" s="5">
        <f t="shared" si="25"/>
        <v>0</v>
      </c>
      <c r="M83" s="5">
        <f>I83-F83</f>
        <v>0</v>
      </c>
      <c r="N83" s="5">
        <f t="shared" si="17"/>
        <v>0</v>
      </c>
      <c r="O83" s="31">
        <f t="shared" si="18"/>
      </c>
      <c r="P83" s="31">
        <f t="shared" si="23"/>
      </c>
      <c r="Q83" s="31">
        <f t="shared" si="19"/>
      </c>
    </row>
    <row r="84" spans="1:17" ht="78.75">
      <c r="A84" s="147"/>
      <c r="B84" s="149"/>
      <c r="C84" s="65" t="s">
        <v>155</v>
      </c>
      <c r="D84" s="66" t="s">
        <v>156</v>
      </c>
      <c r="E84" s="72"/>
      <c r="F84" s="74"/>
      <c r="G84" s="74">
        <f t="shared" si="20"/>
        <v>0</v>
      </c>
      <c r="H84" s="74"/>
      <c r="I84" s="78">
        <v>457860.22</v>
      </c>
      <c r="J84" s="78">
        <v>457860.22</v>
      </c>
      <c r="K84" s="5">
        <f>I84-E84</f>
        <v>457860.22</v>
      </c>
      <c r="L84" s="5">
        <f>I84-G84</f>
        <v>457860.22</v>
      </c>
      <c r="M84" s="5">
        <f>I84-F84</f>
        <v>457860.22</v>
      </c>
      <c r="N84" s="5">
        <f t="shared" si="17"/>
        <v>457860.22</v>
      </c>
      <c r="O84" s="31">
        <f t="shared" si="18"/>
      </c>
      <c r="P84" s="31">
        <f t="shared" si="23"/>
      </c>
      <c r="Q84" s="31">
        <f t="shared" si="19"/>
      </c>
    </row>
    <row r="85" spans="1:17" ht="31.5">
      <c r="A85" s="145"/>
      <c r="B85" s="111"/>
      <c r="C85" s="40" t="s">
        <v>107</v>
      </c>
      <c r="D85" s="10" t="s">
        <v>108</v>
      </c>
      <c r="E85" s="72">
        <v>524955.56</v>
      </c>
      <c r="F85" s="11"/>
      <c r="G85" s="11">
        <f t="shared" si="20"/>
        <v>0</v>
      </c>
      <c r="H85" s="11"/>
      <c r="I85" s="78">
        <v>396095.76</v>
      </c>
      <c r="J85" s="78">
        <v>396095.76</v>
      </c>
      <c r="K85" s="5">
        <f t="shared" si="16"/>
        <v>-128859.80000000005</v>
      </c>
      <c r="L85" s="5">
        <f t="shared" si="21"/>
        <v>396095.76</v>
      </c>
      <c r="M85" s="5">
        <f t="shared" si="22"/>
        <v>396095.76</v>
      </c>
      <c r="N85" s="5">
        <f t="shared" si="17"/>
        <v>396095.76</v>
      </c>
      <c r="O85" s="31">
        <f t="shared" si="18"/>
        <v>0.7545319836216231</v>
      </c>
      <c r="P85" s="31">
        <f t="shared" si="23"/>
      </c>
      <c r="Q85" s="31">
        <f t="shared" si="19"/>
      </c>
    </row>
    <row r="86" spans="1:17" ht="15.75">
      <c r="A86" s="145"/>
      <c r="B86" s="111"/>
      <c r="C86" s="40" t="s">
        <v>109</v>
      </c>
      <c r="D86" s="10" t="s">
        <v>110</v>
      </c>
      <c r="E86" s="72">
        <v>-909853.97</v>
      </c>
      <c r="F86" s="11"/>
      <c r="G86" s="11">
        <f t="shared" si="20"/>
        <v>0</v>
      </c>
      <c r="H86" s="11"/>
      <c r="I86" s="78">
        <v>-523846.81</v>
      </c>
      <c r="J86" s="78">
        <v>-523846.81</v>
      </c>
      <c r="K86" s="5">
        <f t="shared" si="16"/>
        <v>386007.16</v>
      </c>
      <c r="L86" s="5">
        <f t="shared" si="21"/>
        <v>-523846.81</v>
      </c>
      <c r="M86" s="5">
        <f t="shared" si="22"/>
        <v>-523846.81</v>
      </c>
      <c r="N86" s="5">
        <f t="shared" si="17"/>
        <v>-523846.81</v>
      </c>
      <c r="O86" s="31">
        <f t="shared" si="18"/>
        <v>0.5757482269379998</v>
      </c>
      <c r="P86" s="31">
        <f t="shared" si="23"/>
      </c>
      <c r="Q86" s="31">
        <f t="shared" si="19"/>
      </c>
    </row>
    <row r="87" spans="1:17" s="7" customFormat="1" ht="15.75">
      <c r="A87" s="124"/>
      <c r="B87" s="125"/>
      <c r="C87" s="42"/>
      <c r="D87" s="98" t="s">
        <v>118</v>
      </c>
      <c r="E87" s="94">
        <f>SUM(E78:E86)</f>
        <v>-17997.399999999907</v>
      </c>
      <c r="F87" s="54">
        <f>SUM(F78:F86)</f>
        <v>22352525.499999996</v>
      </c>
      <c r="G87" s="54">
        <f t="shared" si="20"/>
        <v>854502.7899999999</v>
      </c>
      <c r="H87" s="54">
        <f>SUM(H78:H86)</f>
        <v>854502.7899999999</v>
      </c>
      <c r="I87" s="54">
        <f>SUM(I78:I86)</f>
        <v>1184611.9599999997</v>
      </c>
      <c r="J87" s="54">
        <f>SUM(J78:J86)</f>
        <v>1184611.9599999997</v>
      </c>
      <c r="K87" s="54">
        <f t="shared" si="16"/>
        <v>1202609.3599999996</v>
      </c>
      <c r="L87" s="54">
        <f t="shared" si="21"/>
        <v>330109.1699999998</v>
      </c>
      <c r="M87" s="59">
        <f t="shared" si="22"/>
        <v>-21167913.539999995</v>
      </c>
      <c r="N87" s="59">
        <f t="shared" si="17"/>
        <v>330109.1699999998</v>
      </c>
      <c r="O87" s="61">
        <f t="shared" si="18"/>
        <v>-65.82128307422215</v>
      </c>
      <c r="P87" s="31">
        <f t="shared" si="23"/>
        <v>1.3863172523989065</v>
      </c>
      <c r="Q87" s="31">
        <f t="shared" si="19"/>
        <v>0.05299678374150608</v>
      </c>
    </row>
    <row r="88" spans="1:17" s="3" customFormat="1" ht="15.75">
      <c r="A88" s="150" t="s">
        <v>111</v>
      </c>
      <c r="B88" s="150"/>
      <c r="C88" s="150"/>
      <c r="D88" s="150"/>
      <c r="E88" s="83">
        <f>E75+E77</f>
        <v>872646.65</v>
      </c>
      <c r="F88" s="83">
        <f>F75+F77</f>
        <v>47664313.2</v>
      </c>
      <c r="G88" s="83">
        <f t="shared" si="20"/>
        <v>1222759.29</v>
      </c>
      <c r="H88" s="83">
        <f>H75+H77</f>
        <v>1222759.29</v>
      </c>
      <c r="I88" s="83">
        <f>I75+I77</f>
        <v>1872022.3599999999</v>
      </c>
      <c r="J88" s="83">
        <f>J75+J77</f>
        <v>1872022.3599999999</v>
      </c>
      <c r="K88" s="83">
        <f t="shared" si="16"/>
        <v>999375.7099999998</v>
      </c>
      <c r="L88" s="83">
        <f t="shared" si="21"/>
        <v>649263.0699999998</v>
      </c>
      <c r="M88" s="83">
        <f t="shared" si="22"/>
        <v>-45792290.84</v>
      </c>
      <c r="N88" s="83">
        <f t="shared" si="17"/>
        <v>649263.0699999998</v>
      </c>
      <c r="O88" s="29">
        <f t="shared" si="18"/>
        <v>2.145223797054627</v>
      </c>
      <c r="P88" s="29">
        <f t="shared" si="23"/>
        <v>1.5309819155003106</v>
      </c>
      <c r="Q88" s="29">
        <f t="shared" si="19"/>
        <v>0.03927513551165571</v>
      </c>
    </row>
    <row r="89" spans="1:17" s="13" customFormat="1" ht="15.75" hidden="1">
      <c r="A89" s="143" t="s">
        <v>120</v>
      </c>
      <c r="B89" s="143"/>
      <c r="C89" s="143"/>
      <c r="D89" s="143"/>
      <c r="E89" s="84">
        <f>E88-E55-E54-E53</f>
        <v>667465.56</v>
      </c>
      <c r="F89" s="83">
        <f>F88-F55-F54-F53</f>
        <v>43261973.1</v>
      </c>
      <c r="G89" s="83">
        <f t="shared" si="20"/>
        <v>924703.49</v>
      </c>
      <c r="H89" s="83">
        <f>H88-H55-H54-H53</f>
        <v>924703.49</v>
      </c>
      <c r="I89" s="83">
        <f>I88-I55-I54-I53</f>
        <v>1652631.2699999998</v>
      </c>
      <c r="J89" s="83">
        <f>J88-J55-J54-J53</f>
        <v>1652631.2699999998</v>
      </c>
      <c r="K89" s="83">
        <f t="shared" si="16"/>
        <v>985165.7099999997</v>
      </c>
      <c r="L89" s="83">
        <f t="shared" si="21"/>
        <v>727927.7799999998</v>
      </c>
      <c r="M89" s="83">
        <f t="shared" si="22"/>
        <v>-41609341.83</v>
      </c>
      <c r="N89" s="83">
        <f>I89-H89</f>
        <v>727927.7799999998</v>
      </c>
      <c r="O89" s="29">
        <f>I89/E89</f>
        <v>2.4759798393193497</v>
      </c>
      <c r="P89" s="31">
        <f t="shared" si="23"/>
        <v>1.7872012897885783</v>
      </c>
      <c r="Q89" s="31">
        <f t="shared" si="19"/>
        <v>0.03820055239228096</v>
      </c>
    </row>
    <row r="90" spans="1:14" ht="15.75">
      <c r="A90" s="33" t="s">
        <v>112</v>
      </c>
      <c r="B90" s="34"/>
      <c r="D90" s="35"/>
      <c r="E90" s="49"/>
      <c r="F90" s="36"/>
      <c r="G90" s="36"/>
      <c r="H90" s="36"/>
      <c r="I90" s="36"/>
      <c r="J90" s="36"/>
      <c r="K90" s="36"/>
      <c r="L90" s="36"/>
      <c r="M90" s="36"/>
      <c r="N90" s="36"/>
    </row>
    <row r="91" ht="12.75">
      <c r="K91" s="67"/>
    </row>
    <row r="98" ht="12.75">
      <c r="E98" s="50" t="s">
        <v>117</v>
      </c>
    </row>
  </sheetData>
  <sheetProtection/>
  <mergeCells count="42">
    <mergeCell ref="A62:A63"/>
    <mergeCell ref="B62:B63"/>
    <mergeCell ref="A64:A65"/>
    <mergeCell ref="B64:B65"/>
    <mergeCell ref="A66:A74"/>
    <mergeCell ref="B66:B74"/>
    <mergeCell ref="A89:D89"/>
    <mergeCell ref="A75:D75"/>
    <mergeCell ref="A77:A87"/>
    <mergeCell ref="B77:B87"/>
    <mergeCell ref="A88:D88"/>
    <mergeCell ref="A76:D76"/>
    <mergeCell ref="B50:B51"/>
    <mergeCell ref="A52:A57"/>
    <mergeCell ref="B52:B57"/>
    <mergeCell ref="A58:A61"/>
    <mergeCell ref="B58:B61"/>
    <mergeCell ref="A50:A51"/>
    <mergeCell ref="A29:A31"/>
    <mergeCell ref="B29:B31"/>
    <mergeCell ref="A32:A39"/>
    <mergeCell ref="B32:B39"/>
    <mergeCell ref="A40:A49"/>
    <mergeCell ref="B40:B49"/>
    <mergeCell ref="A6:A7"/>
    <mergeCell ref="B6:B7"/>
    <mergeCell ref="A8:A19"/>
    <mergeCell ref="A24:C24"/>
    <mergeCell ref="A25:A28"/>
    <mergeCell ref="B25:B28"/>
    <mergeCell ref="A1:Q1"/>
    <mergeCell ref="A3:A4"/>
    <mergeCell ref="B3:B4"/>
    <mergeCell ref="C3:C4"/>
    <mergeCell ref="D3:D4"/>
    <mergeCell ref="E3:E4"/>
    <mergeCell ref="F3:H3"/>
    <mergeCell ref="I3:J3"/>
    <mergeCell ref="K3:N3"/>
    <mergeCell ref="O3:O4"/>
    <mergeCell ref="P3:P4"/>
    <mergeCell ref="Q3:Q4"/>
  </mergeCells>
  <printOptions horizontalCentered="1" verticalCentered="1"/>
  <pageMargins left="0" right="0" top="0.3937007874015748" bottom="0" header="0.1968503937007874" footer="0.15748031496062992"/>
  <pageSetup fitToHeight="2" horizontalDpi="600" verticalDpi="600" orientation="landscape" paperSize="9" scale="54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Котельникова Виктория Ивановна</cp:lastModifiedBy>
  <cp:lastPrinted>2023-01-23T03:36:32Z</cp:lastPrinted>
  <dcterms:created xsi:type="dcterms:W3CDTF">2015-02-26T11:08:47Z</dcterms:created>
  <dcterms:modified xsi:type="dcterms:W3CDTF">2023-01-23T04:19:10Z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