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0" activeTab="0"/>
  </bookViews>
  <sheets>
    <sheet name="на 30.01.23" sheetId="1" r:id="rId1"/>
  </sheets>
  <definedNames>
    <definedName name="_xlfn.IFERROR" hidden="1">#NAME?</definedName>
    <definedName name="print" localSheetId="0">'на 30.01.23'!$3:$4</definedName>
    <definedName name="Print_Titles_0" localSheetId="0">'на 30.01.23'!$3:$4</definedName>
    <definedName name="Print_Titles_0_0" localSheetId="0">'на 30.01.23'!$3:$4</definedName>
    <definedName name="printti" localSheetId="0">'на 30.01.23'!$3:$4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30.01.23'!$3:$4</definedName>
    <definedName name="о">#REF!</definedName>
    <definedName name="_xlnm.Print_Area" localSheetId="0">'на 30.01.23'!$A$1:$Q$89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<sst xmlns="http://schemas.openxmlformats.org/spreadsheetml/2006/main" count="211" uniqueCount="172">
  <si>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</si>
  <si>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</si>
  <si>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</si>
  <si>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</si>
  <si>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</si>
  <si>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</si>
  <si>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% исполн. плана отч. периода</t>
  </si>
  <si>
    <t>% исполн. плана года</t>
  </si>
  <si>
    <t>факта отч.пер. от плана отч.пер.</t>
  </si>
  <si>
    <t>УФНС РФ по ПК</t>
  </si>
  <si>
    <t>НАЛОГОВЫЕ ДОХОДЫ</t>
  </si>
  <si>
    <t>100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</si>
  <si>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</si>
  <si>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</si>
  <si>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</si>
  <si>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</si>
  <si>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</si>
  <si>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</si>
  <si>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</si>
  <si>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</si>
  <si>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</si>
  <si>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</si>
  <si>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</si>
  <si>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</si>
  <si>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</si>
  <si>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</si>
  <si>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</si>
  <si>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</si>
  <si>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</si>
  <si>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</si>
  <si>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</si>
  <si>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</si>
  <si>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</si>
  <si>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</si>
  <si>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</si>
  <si>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</si>
  <si>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</si>
  <si>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</si>
  <si>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</si>
  <si>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</si>
  <si>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</si>
  <si>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</si>
  <si>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</si>
  <si>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</si>
  <si>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</si>
  <si>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</si>
  <si>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</si>
  <si>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</si>
  <si>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</si>
  <si>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</si>
  <si>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</si>
  <si>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</si>
  <si>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</si>
  <si>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</si>
  <si>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</si>
  <si>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</si>
  <si>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</si>
  <si>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</si>
  <si>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</si>
  <si>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</si>
  <si>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</si>
  <si>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</si>
  <si>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</si>
  <si>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</si>
  <si>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</si>
  <si>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</si>
  <si>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</si>
  <si>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</si>
  <si>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</si>
  <si>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</si>
  <si>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</si>
  <si>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</si>
  <si>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</si>
  <si>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</si>
  <si>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</si>
  <si>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</si>
  <si>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</si>
  <si>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</si>
  <si>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</si>
  <si>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</si>
  <si>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</si>
  <si>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</si>
  <si>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</si>
  <si>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</si>
  <si>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</si>
  <si>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</si>
  <si>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</si>
  <si>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</si>
  <si>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</si>
  <si>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</si>
  <si>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</si>
  <si>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</si>
  <si>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</si>
  <si>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</si>
  <si>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</si>
  <si>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</si>
  <si>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</si>
  <si>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</si>
  <si>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</si>
  <si>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</si>
  <si>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</si>
  <si>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</si>
  <si>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</si>
  <si>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</si>
  <si>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</si>
  <si>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</si>
  <si>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</si>
  <si>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</si>
  <si>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</si>
  <si>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</si>
  <si>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</si>
  <si>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</si>
  <si>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</si>
  <si>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</si>
  <si>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</si>
  <si>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 xml:space="preserve">  </t>
  </si>
  <si>
    <t xml:space="preserve">ИТОГО ПО АДМИНИСТРАТОРАМ                          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</si>
  <si>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</si>
  <si>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</si>
  <si>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</si>
  <si>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</si>
  <si>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</si>
  <si>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</si>
  <si>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</si>
  <si>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</si>
  <si>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</si>
  <si>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</si>
  <si>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</si>
  <si>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</si>
  <si>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</si>
  <si>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</si>
  <si>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</si>
  <si>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</si>
  <si>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</si>
  <si>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</si>
  <si>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1 17 15020 04 0 000 150</t>
  </si>
  <si>
    <t xml:space="preserve">Инициативные платежи
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</si>
  <si>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</si>
  <si>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</si>
  <si>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</si>
  <si>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</si>
  <si>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</si>
  <si>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</si>
  <si>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</si>
  <si>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</si>
  <si>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</si>
  <si>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</si>
  <si>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</si>
  <si>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</si>
  <si>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</si>
  <si>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</si>
  <si>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</si>
  <si>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</si>
  <si>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январь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</si>
  <si>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</si>
  <si>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</si>
  <si>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</si>
  <si>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</si>
  <si>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</si>
  <si>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факта января от плана января</t>
  </si>
  <si>
    <t>% факт 2023г./ факт 2022г.</t>
  </si>
  <si>
    <t>УСН</t>
  </si>
  <si>
    <t>январь-февраль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</si>
  <si>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</si>
  <si>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</si>
  <si>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</si>
  <si>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</si>
  <si>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</si>
  <si>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Факт с нач. 2022 года       по 27.01.2022</t>
  </si>
  <si>
    <t>с нач. года на 30.01.2023 (по 27.01. вкл.)</t>
  </si>
  <si>
    <t xml:space="preserve">Транспортный налог </t>
  </si>
  <si>
    <t>1 06 04000 00 0000 110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</si>
</sst>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4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0" xfId="134" applyFont="1" applyFill="1" applyBorder="1" applyAlignment="1" applyProtection="1">
      <alignment horizontal="center" vertical="center" wrapText="1"/>
      <protection/>
    </xf>
    <xf numFmtId="9" fontId="4" fillId="0" borderId="17" xfId="134" applyFont="1" applyFill="1" applyBorder="1" applyAlignment="1" applyProtection="1">
      <alignment horizontal="center" vertical="center" wrapText="1"/>
      <protection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8" xfId="128"/>
    <cellStyle name="Обычный 9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Финансовый 3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85" zoomScaleNormal="85" zoomScaleSheetLayoutView="85" zoomScalePageLayoutView="0" workbookViewId="0" topLeftCell="A1">
      <pane xSplit="4" ySplit="4" topLeftCell="E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99" sqref="I99"/>
    </sheetView>
  </sheetViews>
  <sheetFormatPr defaultColWidth="9.00390625" defaultRowHeight="12.75"/>
  <cols>
    <col min="1" max="1" width="8.375" style="1" customWidth="1"/>
    <col min="2" max="2" width="14.375" style="1" customWidth="1"/>
    <col min="3" max="3" width="22.25390625" style="48" hidden="1" customWidth="1"/>
    <col min="4" max="4" width="71.875" style="37" customWidth="1"/>
    <col min="5" max="5" width="15.625" style="50" customWidth="1"/>
    <col min="6" max="6" width="14.625" style="39" customWidth="1"/>
    <col min="7" max="7" width="14.625" style="39" hidden="1" customWidth="1"/>
    <col min="8" max="8" width="14.625" style="39" customWidth="1"/>
    <col min="9" max="9" width="15.00390625" style="39" customWidth="1"/>
    <col min="10" max="12" width="14.625" style="39" customWidth="1"/>
    <col min="13" max="14" width="14.625" style="39" hidden="1" customWidth="1"/>
    <col min="15" max="15" width="12.625" style="37" customWidth="1"/>
    <col min="16" max="16" width="12.625" style="38" customWidth="1"/>
    <col min="17" max="17" width="10.25390625" style="37" customWidth="1"/>
    <col min="18" max="19" width="14.125" style="1" customWidth="1"/>
    <col min="20" max="20" width="11.875" style="1" customWidth="1"/>
    <col min="21" max="16384" width="9.125" style="1" customWidth="1"/>
  </cols>
  <sheetData>
    <row r="1" spans="1:17" ht="20.25">
      <c r="A1" s="141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20.25" customHeight="1">
      <c r="A2" s="62"/>
      <c r="B2" s="63"/>
      <c r="C2" s="64"/>
      <c r="D2" s="53"/>
      <c r="E2" s="52"/>
      <c r="F2" s="53"/>
      <c r="G2" s="53"/>
      <c r="H2" s="71"/>
      <c r="I2" s="71"/>
      <c r="J2" s="71"/>
      <c r="K2" s="53"/>
      <c r="L2" s="53"/>
      <c r="M2" s="53"/>
      <c r="N2" s="53"/>
      <c r="O2" s="53"/>
      <c r="P2" s="51"/>
      <c r="Q2" s="51" t="s">
        <v>0</v>
      </c>
    </row>
    <row r="3" spans="1:17" ht="20.25" customHeight="1">
      <c r="A3" s="142" t="s">
        <v>1</v>
      </c>
      <c r="B3" s="115" t="s">
        <v>2</v>
      </c>
      <c r="C3" s="143" t="s">
        <v>3</v>
      </c>
      <c r="D3" s="145" t="s">
        <v>4</v>
      </c>
      <c r="E3" s="147" t="s">
        <v>168</v>
      </c>
      <c r="F3" s="149" t="s">
        <v>154</v>
      </c>
      <c r="G3" s="150"/>
      <c r="H3" s="151"/>
      <c r="I3" s="149" t="s">
        <v>156</v>
      </c>
      <c r="J3" s="151"/>
      <c r="K3" s="149" t="s">
        <v>5</v>
      </c>
      <c r="L3" s="150"/>
      <c r="M3" s="150"/>
      <c r="N3" s="151"/>
      <c r="O3" s="152" t="s">
        <v>160</v>
      </c>
      <c r="P3" s="153" t="s">
        <v>6</v>
      </c>
      <c r="Q3" s="152" t="s">
        <v>7</v>
      </c>
    </row>
    <row r="4" spans="1:17" ht="63">
      <c r="A4" s="142"/>
      <c r="B4" s="115"/>
      <c r="C4" s="144"/>
      <c r="D4" s="146"/>
      <c r="E4" s="148"/>
      <c r="F4" s="2" t="s">
        <v>148</v>
      </c>
      <c r="G4" s="2" t="s">
        <v>162</v>
      </c>
      <c r="H4" s="2" t="s">
        <v>153</v>
      </c>
      <c r="I4" s="2" t="s">
        <v>169</v>
      </c>
      <c r="J4" s="2" t="s">
        <v>153</v>
      </c>
      <c r="K4" s="2" t="s">
        <v>157</v>
      </c>
      <c r="L4" s="2" t="s">
        <v>8</v>
      </c>
      <c r="M4" s="2" t="s">
        <v>158</v>
      </c>
      <c r="N4" s="2" t="s">
        <v>159</v>
      </c>
      <c r="O4" s="152"/>
      <c r="P4" s="154"/>
      <c r="Q4" s="152"/>
    </row>
    <row r="5" spans="1:17" s="3" customFormat="1" ht="31.5">
      <c r="A5" s="85"/>
      <c r="B5" s="86" t="s">
        <v>9</v>
      </c>
      <c r="C5" s="87"/>
      <c r="D5" s="88" t="s">
        <v>10</v>
      </c>
      <c r="E5" s="89">
        <f>E7+E18+E20+E22+E19+E21</f>
        <v>775583.5099999999</v>
      </c>
      <c r="F5" s="90">
        <f>F7+F18+F20+F22+F19+F21</f>
        <v>19389290.400000006</v>
      </c>
      <c r="G5" s="90">
        <f>H5</f>
        <v>26818.5</v>
      </c>
      <c r="H5" s="90">
        <f>H7+H18+H20+H22+H19+H21</f>
        <v>26818.5</v>
      </c>
      <c r="I5" s="90">
        <f>I7+I18+I20+I22+I19+I21</f>
        <v>330463.92</v>
      </c>
      <c r="J5" s="90">
        <f>J7+J18+J20+J22+J19+J21</f>
        <v>330463.92</v>
      </c>
      <c r="K5" s="90">
        <f>I5-E5</f>
        <v>-445119.5899999999</v>
      </c>
      <c r="L5" s="90">
        <f>I5-G5</f>
        <v>303645.42</v>
      </c>
      <c r="M5" s="90">
        <f>I5-F5</f>
        <v>-19058826.480000004</v>
      </c>
      <c r="N5" s="90">
        <f aca="true" t="shared" si="0" ref="N5:N35">J5-H5</f>
        <v>303645.42</v>
      </c>
      <c r="O5" s="91">
        <f aca="true" t="shared" si="1" ref="O5:O35">_xlfn.IFERROR(I5/E5,"")</f>
        <v>0.4260842523585887</v>
      </c>
      <c r="P5" s="91">
        <f>_xlfn.IFERROR(J5/H5,"")</f>
        <v>12.32223726159181</v>
      </c>
      <c r="Q5" s="91">
        <f aca="true" t="shared" si="2" ref="Q5:Q35">_xlfn.IFERROR(I5/F5,"")</f>
        <v>0.01704363146781276</v>
      </c>
    </row>
    <row r="6" spans="1:17" ht="15.75">
      <c r="A6" s="114" t="s">
        <v>11</v>
      </c>
      <c r="B6" s="118" t="s">
        <v>12</v>
      </c>
      <c r="C6" s="40" t="s">
        <v>13</v>
      </c>
      <c r="D6" s="4" t="s">
        <v>14</v>
      </c>
      <c r="E6" s="72">
        <v>661.7</v>
      </c>
      <c r="F6" s="5">
        <v>80057.5</v>
      </c>
      <c r="G6" s="5">
        <f aca="true" t="shared" si="3" ref="G6:G68">H6</f>
        <v>6315</v>
      </c>
      <c r="H6" s="5">
        <v>6315</v>
      </c>
      <c r="I6" s="78">
        <f>238.29+245.13</f>
        <v>483.41999999999996</v>
      </c>
      <c r="J6" s="78">
        <f>238.29+245.13</f>
        <v>483.41999999999996</v>
      </c>
      <c r="K6" s="5">
        <f aca="true" t="shared" si="4" ref="K6:K36">I6-E6</f>
        <v>-178.2800000000001</v>
      </c>
      <c r="L6" s="5">
        <f aca="true" t="shared" si="5" ref="L6:L36">I6-G6</f>
        <v>-5831.58</v>
      </c>
      <c r="M6" s="5">
        <f aca="true" t="shared" si="6" ref="M6:M36">I6-F6</f>
        <v>-79574.08</v>
      </c>
      <c r="N6" s="5">
        <f t="shared" si="0"/>
        <v>-5831.58</v>
      </c>
      <c r="O6" s="6">
        <f t="shared" si="1"/>
        <v>0.7305727671150067</v>
      </c>
      <c r="P6" s="6">
        <f aca="true" t="shared" si="7" ref="P6:P68">_xlfn.IFERROR(J6/H6,"")</f>
        <v>0.07655106888361045</v>
      </c>
      <c r="Q6" s="6">
        <f t="shared" si="2"/>
        <v>0.006038409892889485</v>
      </c>
    </row>
    <row r="7" spans="1:17" s="7" customFormat="1" ht="15.75">
      <c r="A7" s="114"/>
      <c r="B7" s="118"/>
      <c r="C7" s="92"/>
      <c r="D7" s="93" t="s">
        <v>15</v>
      </c>
      <c r="E7" s="94">
        <f>SUM(E6)</f>
        <v>661.7</v>
      </c>
      <c r="F7" s="55">
        <f>SUM(F6)</f>
        <v>80057.5</v>
      </c>
      <c r="G7" s="55">
        <f t="shared" si="3"/>
        <v>6315</v>
      </c>
      <c r="H7" s="55">
        <f>SUM(H6)</f>
        <v>6315</v>
      </c>
      <c r="I7" s="55">
        <f>SUM(I6)</f>
        <v>483.41999999999996</v>
      </c>
      <c r="J7" s="55">
        <f>SUM(J6)</f>
        <v>483.41999999999996</v>
      </c>
      <c r="K7" s="55">
        <f t="shared" si="4"/>
        <v>-178.2800000000001</v>
      </c>
      <c r="L7" s="55">
        <f t="shared" si="5"/>
        <v>-5831.58</v>
      </c>
      <c r="M7" s="55">
        <f t="shared" si="6"/>
        <v>-79574.08</v>
      </c>
      <c r="N7" s="55">
        <f t="shared" si="0"/>
        <v>-5831.58</v>
      </c>
      <c r="O7" s="56">
        <f t="shared" si="1"/>
        <v>0.7305727671150067</v>
      </c>
      <c r="P7" s="56">
        <f t="shared" si="7"/>
        <v>0.07655106888361045</v>
      </c>
      <c r="Q7" s="56">
        <f t="shared" si="2"/>
        <v>0.006038409892889485</v>
      </c>
    </row>
    <row r="8" spans="1:17" ht="15.75">
      <c r="A8" s="114" t="s">
        <v>16</v>
      </c>
      <c r="B8" s="106" t="s">
        <v>17</v>
      </c>
      <c r="C8" s="40" t="s">
        <v>18</v>
      </c>
      <c r="D8" s="8" t="s">
        <v>19</v>
      </c>
      <c r="E8" s="73">
        <v>644986.9999999999</v>
      </c>
      <c r="F8" s="9">
        <v>14235121.900000002</v>
      </c>
      <c r="G8" s="9">
        <f t="shared" si="3"/>
        <v>-22923.5</v>
      </c>
      <c r="H8" s="9">
        <v>-22923.5</v>
      </c>
      <c r="I8" s="72">
        <f>(-21941.94)+677.57+336155.49</f>
        <v>314891.12</v>
      </c>
      <c r="J8" s="72">
        <f>(-21941.94)+677.57+336155.49</f>
        <v>314891.12</v>
      </c>
      <c r="K8" s="9">
        <f t="shared" si="4"/>
        <v>-330095.8799999999</v>
      </c>
      <c r="L8" s="9">
        <f t="shared" si="5"/>
        <v>337814.62</v>
      </c>
      <c r="M8" s="9">
        <f t="shared" si="6"/>
        <v>-13920230.780000003</v>
      </c>
      <c r="N8" s="9">
        <f t="shared" si="0"/>
        <v>337814.62</v>
      </c>
      <c r="O8" s="6">
        <f t="shared" si="1"/>
        <v>0.48821312677619866</v>
      </c>
      <c r="P8" s="6">
        <f t="shared" si="7"/>
        <v>-13.736607411608174</v>
      </c>
      <c r="Q8" s="6">
        <f t="shared" si="2"/>
        <v>0.022120718193498572</v>
      </c>
    </row>
    <row r="9" spans="1:17" ht="15.75">
      <c r="A9" s="135"/>
      <c r="B9" s="106" t="s">
        <v>17</v>
      </c>
      <c r="C9" s="75" t="s">
        <v>163</v>
      </c>
      <c r="D9" s="76" t="s">
        <v>161</v>
      </c>
      <c r="E9" s="73"/>
      <c r="F9" s="73">
        <v>1204375.9</v>
      </c>
      <c r="G9" s="73">
        <f t="shared" si="3"/>
        <v>0</v>
      </c>
      <c r="H9" s="73"/>
      <c r="I9" s="72">
        <f>6143.47+4603.35</f>
        <v>10746.82</v>
      </c>
      <c r="J9" s="72">
        <f>6143.47+4603.35</f>
        <v>10746.82</v>
      </c>
      <c r="K9" s="9">
        <f>I9-E9</f>
        <v>10746.82</v>
      </c>
      <c r="L9" s="9">
        <f>I9-G9</f>
        <v>10746.82</v>
      </c>
      <c r="M9" s="9">
        <f>I9-F9</f>
        <v>-1193629.0799999998</v>
      </c>
      <c r="N9" s="9">
        <f t="shared" si="0"/>
        <v>10746.82</v>
      </c>
      <c r="O9" s="6">
        <f t="shared" si="1"/>
      </c>
      <c r="P9" s="6">
        <f t="shared" si="7"/>
      </c>
      <c r="Q9" s="6">
        <f t="shared" si="2"/>
        <v>0.008923144343887985</v>
      </c>
    </row>
    <row r="10" spans="1:17" ht="15.75">
      <c r="A10" s="114"/>
      <c r="B10" s="106" t="s">
        <v>17</v>
      </c>
      <c r="C10" s="40" t="s">
        <v>20</v>
      </c>
      <c r="D10" s="8" t="s">
        <v>21</v>
      </c>
      <c r="E10" s="73">
        <v>11.880000000000003</v>
      </c>
      <c r="F10" s="9"/>
      <c r="G10" s="9">
        <f t="shared" si="3"/>
        <v>0</v>
      </c>
      <c r="H10" s="9"/>
      <c r="I10" s="78">
        <f>(-4120.78)+73.7</f>
        <v>-4047.08</v>
      </c>
      <c r="J10" s="78">
        <f>(-4120.78)+73.7</f>
        <v>-4047.08</v>
      </c>
      <c r="K10" s="9">
        <f t="shared" si="4"/>
        <v>-4058.96</v>
      </c>
      <c r="L10" s="9">
        <f>I10-G10</f>
        <v>-4047.08</v>
      </c>
      <c r="M10" s="9">
        <f t="shared" si="6"/>
        <v>-4047.08</v>
      </c>
      <c r="N10" s="9">
        <f t="shared" si="0"/>
        <v>-4047.08</v>
      </c>
      <c r="O10" s="6">
        <f t="shared" si="1"/>
        <v>-340.6632996632996</v>
      </c>
      <c r="P10" s="6">
        <f t="shared" si="7"/>
      </c>
      <c r="Q10" s="6">
        <f t="shared" si="2"/>
      </c>
    </row>
    <row r="11" spans="1:17" ht="15.75">
      <c r="A11" s="114"/>
      <c r="B11" s="106" t="s">
        <v>17</v>
      </c>
      <c r="C11" s="40" t="s">
        <v>22</v>
      </c>
      <c r="D11" s="8" t="s">
        <v>23</v>
      </c>
      <c r="E11" s="73">
        <v>61.910000000000004</v>
      </c>
      <c r="F11" s="9">
        <v>4690.3</v>
      </c>
      <c r="G11" s="9">
        <f t="shared" si="3"/>
        <v>0</v>
      </c>
      <c r="H11" s="9"/>
      <c r="I11" s="79">
        <v>-0.9</v>
      </c>
      <c r="J11" s="79">
        <v>-0.9</v>
      </c>
      <c r="K11" s="9">
        <f t="shared" si="4"/>
        <v>-62.81</v>
      </c>
      <c r="L11" s="9">
        <f t="shared" si="5"/>
        <v>-0.9</v>
      </c>
      <c r="M11" s="9">
        <f t="shared" si="6"/>
        <v>-4691.2</v>
      </c>
      <c r="N11" s="9">
        <f t="shared" si="0"/>
        <v>-0.9</v>
      </c>
      <c r="O11" s="6">
        <f t="shared" si="1"/>
        <v>-0.014537231465029882</v>
      </c>
      <c r="P11" s="6">
        <f t="shared" si="7"/>
      </c>
      <c r="Q11" s="6">
        <f t="shared" si="2"/>
        <v>-0.00019188538046606827</v>
      </c>
    </row>
    <row r="12" spans="1:17" ht="15.75">
      <c r="A12" s="114"/>
      <c r="B12" s="106" t="s">
        <v>17</v>
      </c>
      <c r="C12" s="40" t="s">
        <v>24</v>
      </c>
      <c r="D12" s="8" t="s">
        <v>165</v>
      </c>
      <c r="E12" s="73">
        <v>13807.74</v>
      </c>
      <c r="F12" s="9">
        <v>314766.5</v>
      </c>
      <c r="G12" s="9">
        <f t="shared" si="3"/>
        <v>0</v>
      </c>
      <c r="H12" s="9"/>
      <c r="I12" s="79">
        <f>(-35089.87)+11973.52</f>
        <v>-23116.350000000002</v>
      </c>
      <c r="J12" s="79">
        <f>(-35089.87)+11973.52</f>
        <v>-23116.350000000002</v>
      </c>
      <c r="K12" s="9">
        <f t="shared" si="4"/>
        <v>-36924.090000000004</v>
      </c>
      <c r="L12" s="9">
        <f t="shared" si="5"/>
        <v>-23116.350000000002</v>
      </c>
      <c r="M12" s="9">
        <f t="shared" si="6"/>
        <v>-337882.85</v>
      </c>
      <c r="N12" s="9">
        <f t="shared" si="0"/>
        <v>-23116.350000000002</v>
      </c>
      <c r="O12" s="6">
        <f t="shared" si="1"/>
        <v>-1.6741588413455064</v>
      </c>
      <c r="P12" s="6">
        <f t="shared" si="7"/>
      </c>
      <c r="Q12" s="6">
        <f t="shared" si="2"/>
        <v>-0.07343967671273786</v>
      </c>
    </row>
    <row r="13" spans="1:17" ht="15.75">
      <c r="A13" s="114"/>
      <c r="B13" s="106" t="s">
        <v>25</v>
      </c>
      <c r="C13" s="40" t="s">
        <v>26</v>
      </c>
      <c r="D13" s="8" t="s">
        <v>27</v>
      </c>
      <c r="E13" s="73">
        <v>20916.190000000002</v>
      </c>
      <c r="F13" s="9">
        <v>1083466.2</v>
      </c>
      <c r="G13" s="9">
        <f t="shared" si="3"/>
        <v>21200</v>
      </c>
      <c r="H13" s="9">
        <v>21200</v>
      </c>
      <c r="I13" s="79">
        <f>7244.59+9941.29</f>
        <v>17185.88</v>
      </c>
      <c r="J13" s="79">
        <f>7244.59+9941.29</f>
        <v>17185.88</v>
      </c>
      <c r="K13" s="9">
        <f t="shared" si="4"/>
        <v>-3730.3100000000013</v>
      </c>
      <c r="L13" s="9">
        <f t="shared" si="5"/>
        <v>-4014.119999999999</v>
      </c>
      <c r="M13" s="9">
        <f t="shared" si="6"/>
        <v>-1066280.32</v>
      </c>
      <c r="N13" s="9">
        <f t="shared" si="0"/>
        <v>-4014.119999999999</v>
      </c>
      <c r="O13" s="6">
        <f t="shared" si="1"/>
        <v>0.8216544217661056</v>
      </c>
      <c r="P13" s="6">
        <f t="shared" si="7"/>
        <v>0.8106547169811321</v>
      </c>
      <c r="Q13" s="6">
        <f t="shared" si="2"/>
        <v>0.01586194382436665</v>
      </c>
    </row>
    <row r="14" spans="1:17" ht="15.75">
      <c r="A14" s="114"/>
      <c r="B14" s="106" t="s">
        <v>114</v>
      </c>
      <c r="C14" s="40" t="s">
        <v>171</v>
      </c>
      <c r="D14" s="8" t="s">
        <v>170</v>
      </c>
      <c r="E14" s="73">
        <v>49105.4</v>
      </c>
      <c r="F14" s="9"/>
      <c r="G14" s="9">
        <f t="shared" si="3"/>
        <v>0</v>
      </c>
      <c r="H14" s="9"/>
      <c r="I14" s="79">
        <v>0</v>
      </c>
      <c r="J14" s="79">
        <v>0</v>
      </c>
      <c r="K14" s="9">
        <f t="shared" si="4"/>
        <v>-49105.4</v>
      </c>
      <c r="L14" s="9">
        <f t="shared" si="5"/>
        <v>0</v>
      </c>
      <c r="M14" s="9">
        <f t="shared" si="6"/>
        <v>0</v>
      </c>
      <c r="N14" s="9">
        <f t="shared" si="0"/>
        <v>0</v>
      </c>
      <c r="O14" s="6">
        <f t="shared" si="1"/>
        <v>0</v>
      </c>
      <c r="P14" s="6">
        <f t="shared" si="7"/>
      </c>
      <c r="Q14" s="6">
        <f t="shared" si="2"/>
      </c>
    </row>
    <row r="15" spans="1:17" ht="15.75">
      <c r="A15" s="114"/>
      <c r="B15" s="106" t="s">
        <v>25</v>
      </c>
      <c r="C15" s="40" t="s">
        <v>28</v>
      </c>
      <c r="D15" s="8" t="s">
        <v>29</v>
      </c>
      <c r="E15" s="73">
        <v>36122.149999999994</v>
      </c>
      <c r="F15" s="9">
        <v>2237196.9</v>
      </c>
      <c r="G15" s="9">
        <f t="shared" si="3"/>
        <v>9300</v>
      </c>
      <c r="H15" s="9">
        <v>9300</v>
      </c>
      <c r="I15" s="79">
        <f>(-30.31)+4373.58</f>
        <v>4343.2699999999995</v>
      </c>
      <c r="J15" s="79">
        <f>(-30.31)+4373.58</f>
        <v>4343.2699999999995</v>
      </c>
      <c r="K15" s="9">
        <f t="shared" si="4"/>
        <v>-31778.879999999994</v>
      </c>
      <c r="L15" s="9">
        <f t="shared" si="5"/>
        <v>-4956.7300000000005</v>
      </c>
      <c r="M15" s="9">
        <f t="shared" si="6"/>
        <v>-2232853.63</v>
      </c>
      <c r="N15" s="9">
        <f t="shared" si="0"/>
        <v>-4956.7300000000005</v>
      </c>
      <c r="O15" s="6">
        <f t="shared" si="1"/>
        <v>0.12023841327274264</v>
      </c>
      <c r="P15" s="6">
        <f t="shared" si="7"/>
        <v>0.46701827956989245</v>
      </c>
      <c r="Q15" s="6">
        <f t="shared" si="2"/>
        <v>0.001941389244728526</v>
      </c>
    </row>
    <row r="16" spans="1:17" ht="15.75">
      <c r="A16" s="114"/>
      <c r="B16" s="106" t="s">
        <v>30</v>
      </c>
      <c r="C16" s="40" t="s">
        <v>31</v>
      </c>
      <c r="D16" s="8" t="s">
        <v>32</v>
      </c>
      <c r="E16" s="73">
        <v>9809.98</v>
      </c>
      <c r="F16" s="9">
        <v>228385.6</v>
      </c>
      <c r="G16" s="9">
        <f t="shared" si="3"/>
        <v>12850</v>
      </c>
      <c r="H16" s="9">
        <v>12850</v>
      </c>
      <c r="I16" s="73">
        <f>7529.76+1442.74+959.88</f>
        <v>9932.38</v>
      </c>
      <c r="J16" s="73">
        <f>7529.76+1442.74+959.88</f>
        <v>9932.38</v>
      </c>
      <c r="K16" s="9">
        <f t="shared" si="4"/>
        <v>122.39999999999964</v>
      </c>
      <c r="L16" s="9">
        <f t="shared" si="5"/>
        <v>-2917.620000000001</v>
      </c>
      <c r="M16" s="9">
        <f t="shared" si="6"/>
        <v>-218453.22</v>
      </c>
      <c r="N16" s="9">
        <f t="shared" si="0"/>
        <v>-2917.620000000001</v>
      </c>
      <c r="O16" s="6">
        <f t="shared" si="1"/>
        <v>1.0124770896576751</v>
      </c>
      <c r="P16" s="6">
        <f t="shared" si="7"/>
        <v>0.772947859922179</v>
      </c>
      <c r="Q16" s="6">
        <f t="shared" si="2"/>
        <v>0.0434895194793367</v>
      </c>
    </row>
    <row r="17" spans="1:17" ht="15.75">
      <c r="A17" s="114"/>
      <c r="B17" s="106" t="s">
        <v>25</v>
      </c>
      <c r="C17" s="40" t="s">
        <v>33</v>
      </c>
      <c r="D17" s="8" t="s">
        <v>34</v>
      </c>
      <c r="E17" s="73">
        <v>17.96</v>
      </c>
      <c r="F17" s="9"/>
      <c r="G17" s="9">
        <f t="shared" si="3"/>
        <v>0</v>
      </c>
      <c r="H17" s="9"/>
      <c r="I17" s="104">
        <v>-2.04</v>
      </c>
      <c r="J17" s="104">
        <v>-2.04</v>
      </c>
      <c r="K17" s="9">
        <f t="shared" si="4"/>
        <v>-20</v>
      </c>
      <c r="L17" s="9">
        <f t="shared" si="5"/>
        <v>-2.04</v>
      </c>
      <c r="M17" s="9">
        <f t="shared" si="6"/>
        <v>-2.04</v>
      </c>
      <c r="N17" s="9">
        <f t="shared" si="0"/>
        <v>-2.04</v>
      </c>
      <c r="O17" s="6">
        <f t="shared" si="1"/>
        <v>-0.11358574610244988</v>
      </c>
      <c r="P17" s="6">
        <f t="shared" si="7"/>
      </c>
      <c r="Q17" s="6">
        <f t="shared" si="2"/>
      </c>
    </row>
    <row r="18" spans="1:17" s="7" customFormat="1" ht="15.75">
      <c r="A18" s="114"/>
      <c r="B18" s="95"/>
      <c r="C18" s="92"/>
      <c r="D18" s="96" t="s">
        <v>15</v>
      </c>
      <c r="E18" s="94">
        <f>SUM(E8:E17)</f>
        <v>774840.21</v>
      </c>
      <c r="F18" s="55">
        <f>SUM(F8:F17)</f>
        <v>19308003.300000004</v>
      </c>
      <c r="G18" s="55">
        <f t="shared" si="3"/>
        <v>20426.5</v>
      </c>
      <c r="H18" s="55">
        <f>SUM(H8:H17)</f>
        <v>20426.5</v>
      </c>
      <c r="I18" s="55">
        <f>SUM(I8:I17)</f>
        <v>329933.10000000003</v>
      </c>
      <c r="J18" s="55">
        <f>SUM(J8:J17)</f>
        <v>329933.10000000003</v>
      </c>
      <c r="K18" s="55">
        <f t="shared" si="4"/>
        <v>-444907.1099999999</v>
      </c>
      <c r="L18" s="55">
        <f t="shared" si="5"/>
        <v>309506.60000000003</v>
      </c>
      <c r="M18" s="55">
        <f t="shared" si="6"/>
        <v>-18978070.200000003</v>
      </c>
      <c r="N18" s="55">
        <f t="shared" si="0"/>
        <v>309506.60000000003</v>
      </c>
      <c r="O18" s="56">
        <f t="shared" si="1"/>
        <v>0.4258079223844101</v>
      </c>
      <c r="P18" s="56">
        <f t="shared" si="7"/>
        <v>16.15220914008763</v>
      </c>
      <c r="Q18" s="56">
        <f t="shared" si="2"/>
        <v>0.01708789328827181</v>
      </c>
    </row>
    <row r="19" spans="1:17" ht="15.75">
      <c r="A19" s="105" t="s">
        <v>111</v>
      </c>
      <c r="B19" s="106" t="s">
        <v>36</v>
      </c>
      <c r="C19" s="40" t="s">
        <v>38</v>
      </c>
      <c r="D19" s="8" t="s">
        <v>39</v>
      </c>
      <c r="E19" s="73">
        <v>16</v>
      </c>
      <c r="F19" s="9">
        <v>140</v>
      </c>
      <c r="G19" s="9">
        <f t="shared" si="3"/>
        <v>10</v>
      </c>
      <c r="H19" s="9">
        <v>10</v>
      </c>
      <c r="I19" s="77">
        <v>8</v>
      </c>
      <c r="J19" s="77">
        <v>8</v>
      </c>
      <c r="K19" s="9">
        <f t="shared" si="4"/>
        <v>-8</v>
      </c>
      <c r="L19" s="9">
        <f t="shared" si="5"/>
        <v>-2</v>
      </c>
      <c r="M19" s="9">
        <f t="shared" si="6"/>
        <v>-132</v>
      </c>
      <c r="N19" s="9">
        <f t="shared" si="0"/>
        <v>-2</v>
      </c>
      <c r="O19" s="6">
        <f t="shared" si="1"/>
        <v>0.5</v>
      </c>
      <c r="P19" s="6">
        <f t="shared" si="7"/>
        <v>0.8</v>
      </c>
      <c r="Q19" s="6">
        <f t="shared" si="2"/>
        <v>0.05714285714285714</v>
      </c>
    </row>
    <row r="20" spans="1:19" ht="25.5">
      <c r="A20" s="105" t="s">
        <v>35</v>
      </c>
      <c r="B20" s="106" t="s">
        <v>36</v>
      </c>
      <c r="C20" s="40" t="s">
        <v>37</v>
      </c>
      <c r="D20" s="8" t="s">
        <v>164</v>
      </c>
      <c r="E20" s="73"/>
      <c r="F20" s="9"/>
      <c r="G20" s="9">
        <f t="shared" si="3"/>
        <v>0</v>
      </c>
      <c r="H20" s="9"/>
      <c r="I20" s="77">
        <v>8.8</v>
      </c>
      <c r="J20" s="77">
        <v>8.8</v>
      </c>
      <c r="K20" s="9">
        <f t="shared" si="4"/>
        <v>8.8</v>
      </c>
      <c r="L20" s="9">
        <f t="shared" si="5"/>
        <v>8.8</v>
      </c>
      <c r="M20" s="9">
        <f t="shared" si="6"/>
        <v>8.8</v>
      </c>
      <c r="N20" s="9">
        <f t="shared" si="0"/>
        <v>8.8</v>
      </c>
      <c r="O20" s="6">
        <f t="shared" si="1"/>
      </c>
      <c r="P20" s="6">
        <f t="shared" si="7"/>
      </c>
      <c r="Q20" s="6">
        <f t="shared" si="2"/>
      </c>
      <c r="S20" s="68"/>
    </row>
    <row r="21" spans="1:17" ht="31.5">
      <c r="A21" s="107" t="s">
        <v>42</v>
      </c>
      <c r="B21" s="108" t="s">
        <v>113</v>
      </c>
      <c r="C21" s="40" t="s">
        <v>43</v>
      </c>
      <c r="D21" s="8" t="s">
        <v>44</v>
      </c>
      <c r="E21" s="73">
        <v>65.6</v>
      </c>
      <c r="F21" s="9">
        <v>969.6</v>
      </c>
      <c r="G21" s="9">
        <f t="shared" si="3"/>
        <v>67</v>
      </c>
      <c r="H21" s="9">
        <v>67</v>
      </c>
      <c r="I21" s="77">
        <v>25.6</v>
      </c>
      <c r="J21" s="77">
        <v>25.6</v>
      </c>
      <c r="K21" s="9">
        <f t="shared" si="4"/>
        <v>-39.99999999999999</v>
      </c>
      <c r="L21" s="9">
        <f t="shared" si="5"/>
        <v>-41.4</v>
      </c>
      <c r="M21" s="9">
        <f t="shared" si="6"/>
        <v>-944</v>
      </c>
      <c r="N21" s="9">
        <f t="shared" si="0"/>
        <v>-41.4</v>
      </c>
      <c r="O21" s="6">
        <f t="shared" si="1"/>
        <v>0.39024390243902446</v>
      </c>
      <c r="P21" s="6">
        <f t="shared" si="7"/>
        <v>0.382089552238806</v>
      </c>
      <c r="Q21" s="6">
        <f t="shared" si="2"/>
        <v>0.026402640264026403</v>
      </c>
    </row>
    <row r="22" spans="1:17" ht="15.75">
      <c r="A22" s="105" t="s">
        <v>40</v>
      </c>
      <c r="B22" s="106" t="s">
        <v>17</v>
      </c>
      <c r="C22" s="40" t="s">
        <v>41</v>
      </c>
      <c r="D22" s="8" t="s">
        <v>117</v>
      </c>
      <c r="E22" s="73"/>
      <c r="F22" s="9">
        <v>120</v>
      </c>
      <c r="G22" s="9">
        <f t="shared" si="3"/>
        <v>0</v>
      </c>
      <c r="H22" s="9"/>
      <c r="I22" s="77">
        <v>5</v>
      </c>
      <c r="J22" s="77">
        <v>5</v>
      </c>
      <c r="K22" s="9">
        <f t="shared" si="4"/>
        <v>5</v>
      </c>
      <c r="L22" s="9">
        <f t="shared" si="5"/>
        <v>5</v>
      </c>
      <c r="M22" s="9">
        <f t="shared" si="6"/>
        <v>-115</v>
      </c>
      <c r="N22" s="9">
        <f t="shared" si="0"/>
        <v>5</v>
      </c>
      <c r="O22" s="6">
        <f t="shared" si="1"/>
      </c>
      <c r="P22" s="6">
        <f t="shared" si="7"/>
      </c>
      <c r="Q22" s="6">
        <f t="shared" si="2"/>
        <v>0.041666666666666664</v>
      </c>
    </row>
    <row r="23" spans="1:17" s="3" customFormat="1" ht="15.75">
      <c r="A23" s="136"/>
      <c r="B23" s="136"/>
      <c r="C23" s="136"/>
      <c r="D23" s="97" t="s">
        <v>45</v>
      </c>
      <c r="E23" s="90">
        <f>E27+E30+E38+E48+E50+E56+E60+E62+E73</f>
        <v>330044.19000000006</v>
      </c>
      <c r="F23" s="90">
        <f>F27+F30+F38+F48+F50+F56+F60+F62+F73</f>
        <v>5922497.3</v>
      </c>
      <c r="G23" s="90">
        <f t="shared" si="3"/>
        <v>341438</v>
      </c>
      <c r="H23" s="90">
        <f>H27+H30+H38+H48+H50+H56+H60+H62+H73</f>
        <v>341438</v>
      </c>
      <c r="I23" s="90">
        <f>I27+I30+I38+I48+I50+I56+I60+I62+I73</f>
        <v>446569.09</v>
      </c>
      <c r="J23" s="90">
        <f>J27+J30+J38+J48+J50+J56+J60+J62+J73</f>
        <v>446569.09</v>
      </c>
      <c r="K23" s="90">
        <f t="shared" si="4"/>
        <v>116524.89999999997</v>
      </c>
      <c r="L23" s="90">
        <f t="shared" si="5"/>
        <v>105131.09000000003</v>
      </c>
      <c r="M23" s="90">
        <f t="shared" si="6"/>
        <v>-5475928.21</v>
      </c>
      <c r="N23" s="90">
        <f t="shared" si="0"/>
        <v>105131.09000000003</v>
      </c>
      <c r="O23" s="91">
        <f t="shared" si="1"/>
        <v>1.3530584798356848</v>
      </c>
      <c r="P23" s="91">
        <f t="shared" si="7"/>
        <v>1.3079068234935773</v>
      </c>
      <c r="Q23" s="91">
        <f t="shared" si="2"/>
        <v>0.07540216016645547</v>
      </c>
    </row>
    <row r="24" spans="1:17" s="13" customFormat="1" ht="15.75">
      <c r="A24" s="125" t="s">
        <v>42</v>
      </c>
      <c r="B24" s="127" t="s">
        <v>113</v>
      </c>
      <c r="C24" s="41" t="s">
        <v>78</v>
      </c>
      <c r="D24" s="10" t="s">
        <v>166</v>
      </c>
      <c r="E24" s="11">
        <v>6170.71</v>
      </c>
      <c r="F24" s="11">
        <v>135475.5</v>
      </c>
      <c r="G24" s="11">
        <f t="shared" si="3"/>
        <v>7200</v>
      </c>
      <c r="H24" s="11">
        <v>7200</v>
      </c>
      <c r="I24" s="77">
        <v>8505.61</v>
      </c>
      <c r="J24" s="77">
        <v>8505.61</v>
      </c>
      <c r="K24" s="11">
        <f t="shared" si="4"/>
        <v>2334.9000000000005</v>
      </c>
      <c r="L24" s="11">
        <f t="shared" si="5"/>
        <v>1305.6100000000006</v>
      </c>
      <c r="M24" s="11">
        <f t="shared" si="6"/>
        <v>-126969.89</v>
      </c>
      <c r="N24" s="11">
        <f t="shared" si="0"/>
        <v>1305.6100000000006</v>
      </c>
      <c r="O24" s="12">
        <f t="shared" si="1"/>
        <v>1.378384335027898</v>
      </c>
      <c r="P24" s="12">
        <f t="shared" si="7"/>
        <v>1.1813347222222224</v>
      </c>
      <c r="Q24" s="12">
        <f t="shared" si="2"/>
        <v>0.06278338149702345</v>
      </c>
    </row>
    <row r="25" spans="1:17" s="13" customFormat="1" ht="15.75">
      <c r="A25" s="137"/>
      <c r="B25" s="139"/>
      <c r="C25" s="40" t="s">
        <v>46</v>
      </c>
      <c r="D25" s="10" t="s">
        <v>47</v>
      </c>
      <c r="E25" s="16"/>
      <c r="F25" s="9">
        <v>31937.8</v>
      </c>
      <c r="G25" s="9">
        <f t="shared" si="3"/>
        <v>0</v>
      </c>
      <c r="H25" s="9"/>
      <c r="I25" s="25">
        <v>0</v>
      </c>
      <c r="J25" s="25">
        <v>0</v>
      </c>
      <c r="K25" s="9">
        <f t="shared" si="4"/>
        <v>0</v>
      </c>
      <c r="L25" s="9">
        <f t="shared" si="5"/>
        <v>0</v>
      </c>
      <c r="M25" s="9">
        <f t="shared" si="6"/>
        <v>-31937.8</v>
      </c>
      <c r="N25" s="9">
        <f t="shared" si="0"/>
        <v>0</v>
      </c>
      <c r="O25" s="12">
        <f t="shared" si="1"/>
      </c>
      <c r="P25" s="12">
        <f t="shared" si="7"/>
      </c>
      <c r="Q25" s="12">
        <f t="shared" si="2"/>
        <v>0</v>
      </c>
    </row>
    <row r="26" spans="1:17" s="13" customFormat="1" ht="15.75">
      <c r="A26" s="137"/>
      <c r="B26" s="139"/>
      <c r="C26" s="40" t="s">
        <v>79</v>
      </c>
      <c r="D26" s="10" t="s">
        <v>80</v>
      </c>
      <c r="E26" s="11">
        <v>5286.780000000001</v>
      </c>
      <c r="F26" s="11">
        <v>110819.4</v>
      </c>
      <c r="G26" s="11">
        <f t="shared" si="3"/>
        <v>6250</v>
      </c>
      <c r="H26" s="11">
        <v>6250</v>
      </c>
      <c r="I26" s="78">
        <v>4929.629999999999</v>
      </c>
      <c r="J26" s="78">
        <v>4929.629999999999</v>
      </c>
      <c r="K26" s="11">
        <f t="shared" si="4"/>
        <v>-357.15000000000146</v>
      </c>
      <c r="L26" s="11">
        <f t="shared" si="5"/>
        <v>-1320.3700000000008</v>
      </c>
      <c r="M26" s="11">
        <f t="shared" si="6"/>
        <v>-105889.76999999999</v>
      </c>
      <c r="N26" s="11">
        <f t="shared" si="0"/>
        <v>-1320.3700000000008</v>
      </c>
      <c r="O26" s="12">
        <f t="shared" si="1"/>
        <v>0.9324447016898753</v>
      </c>
      <c r="P26" s="12">
        <f t="shared" si="7"/>
        <v>0.7887407999999999</v>
      </c>
      <c r="Q26" s="12">
        <f t="shared" si="2"/>
        <v>0.04448345686766035</v>
      </c>
    </row>
    <row r="27" spans="1:17" s="7" customFormat="1" ht="15.75">
      <c r="A27" s="138"/>
      <c r="B27" s="140"/>
      <c r="C27" s="92"/>
      <c r="D27" s="96" t="s">
        <v>15</v>
      </c>
      <c r="E27" s="55">
        <f aca="true" t="shared" si="8" ref="E27:J27">SUM(E24:E26)</f>
        <v>11457.490000000002</v>
      </c>
      <c r="F27" s="55">
        <f t="shared" si="8"/>
        <v>278232.69999999995</v>
      </c>
      <c r="G27" s="55">
        <f t="shared" si="3"/>
        <v>13450</v>
      </c>
      <c r="H27" s="55">
        <f t="shared" si="8"/>
        <v>13450</v>
      </c>
      <c r="I27" s="55">
        <f t="shared" si="8"/>
        <v>13435.24</v>
      </c>
      <c r="J27" s="55">
        <f t="shared" si="8"/>
        <v>13435.24</v>
      </c>
      <c r="K27" s="55">
        <f t="shared" si="4"/>
        <v>1977.7499999999982</v>
      </c>
      <c r="L27" s="55">
        <f t="shared" si="5"/>
        <v>-14.760000000000218</v>
      </c>
      <c r="M27" s="55">
        <f t="shared" si="6"/>
        <v>-264797.45999999996</v>
      </c>
      <c r="N27" s="55">
        <f t="shared" si="0"/>
        <v>-14.760000000000218</v>
      </c>
      <c r="O27" s="57">
        <f t="shared" si="1"/>
        <v>1.1726163409263284</v>
      </c>
      <c r="P27" s="57">
        <f t="shared" si="7"/>
        <v>0.9989026022304832</v>
      </c>
      <c r="Q27" s="57">
        <f t="shared" si="2"/>
        <v>0.048287782133444423</v>
      </c>
    </row>
    <row r="28" spans="1:17" ht="15.75">
      <c r="A28" s="118">
        <v>951</v>
      </c>
      <c r="B28" s="118" t="s">
        <v>17</v>
      </c>
      <c r="C28" s="41" t="s">
        <v>130</v>
      </c>
      <c r="D28" s="14" t="s">
        <v>49</v>
      </c>
      <c r="E28" s="9">
        <v>2081.66</v>
      </c>
      <c r="F28" s="9">
        <v>91712.1</v>
      </c>
      <c r="G28" s="9">
        <f t="shared" si="3"/>
        <v>1883</v>
      </c>
      <c r="H28" s="9">
        <v>1883</v>
      </c>
      <c r="I28" s="77">
        <v>1668.85</v>
      </c>
      <c r="J28" s="77">
        <v>1668.85</v>
      </c>
      <c r="K28" s="9">
        <f t="shared" si="4"/>
        <v>-412.80999999999995</v>
      </c>
      <c r="L28" s="9">
        <f t="shared" si="5"/>
        <v>-214.1500000000001</v>
      </c>
      <c r="M28" s="9">
        <f t="shared" si="6"/>
        <v>-90043.25</v>
      </c>
      <c r="N28" s="9">
        <f t="shared" si="0"/>
        <v>-214.1500000000001</v>
      </c>
      <c r="O28" s="12">
        <f t="shared" si="1"/>
        <v>0.8016919189493001</v>
      </c>
      <c r="P28" s="12">
        <f t="shared" si="7"/>
        <v>0.8862719065321295</v>
      </c>
      <c r="Q28" s="12">
        <f t="shared" si="2"/>
        <v>0.018196617458328835</v>
      </c>
    </row>
    <row r="29" spans="1:17" ht="15.75">
      <c r="A29" s="118"/>
      <c r="B29" s="118"/>
      <c r="C29" s="40" t="s">
        <v>129</v>
      </c>
      <c r="D29" s="10" t="s">
        <v>51</v>
      </c>
      <c r="E29" s="9">
        <v>493.56</v>
      </c>
      <c r="F29" s="9">
        <v>14224.9</v>
      </c>
      <c r="G29" s="9">
        <f t="shared" si="3"/>
        <v>422.6</v>
      </c>
      <c r="H29" s="9">
        <v>422.6</v>
      </c>
      <c r="I29" s="77">
        <v>204.5</v>
      </c>
      <c r="J29" s="77">
        <v>204.5</v>
      </c>
      <c r="K29" s="9">
        <f t="shared" si="4"/>
        <v>-289.06</v>
      </c>
      <c r="L29" s="9">
        <f t="shared" si="5"/>
        <v>-218.10000000000002</v>
      </c>
      <c r="M29" s="9">
        <f t="shared" si="6"/>
        <v>-14020.4</v>
      </c>
      <c r="N29" s="9">
        <f t="shared" si="0"/>
        <v>-218.10000000000002</v>
      </c>
      <c r="O29" s="12">
        <f t="shared" si="1"/>
        <v>0.4143366561309669</v>
      </c>
      <c r="P29" s="12">
        <f t="shared" si="7"/>
        <v>0.48390913393279694</v>
      </c>
      <c r="Q29" s="12">
        <f t="shared" si="2"/>
        <v>0.014376199481191433</v>
      </c>
    </row>
    <row r="30" spans="1:17" s="7" customFormat="1" ht="15.75">
      <c r="A30" s="118"/>
      <c r="B30" s="118"/>
      <c r="C30" s="92"/>
      <c r="D30" s="98" t="s">
        <v>15</v>
      </c>
      <c r="E30" s="55">
        <f>E28+E29</f>
        <v>2575.22</v>
      </c>
      <c r="F30" s="55">
        <f>F28+F29</f>
        <v>105937</v>
      </c>
      <c r="G30" s="55">
        <f t="shared" si="3"/>
        <v>2305.6</v>
      </c>
      <c r="H30" s="55">
        <f>H28+H29</f>
        <v>2305.6</v>
      </c>
      <c r="I30" s="55">
        <f>I28+I29</f>
        <v>1873.35</v>
      </c>
      <c r="J30" s="55">
        <f>J28+J29</f>
        <v>1873.35</v>
      </c>
      <c r="K30" s="55">
        <f t="shared" si="4"/>
        <v>-701.8699999999999</v>
      </c>
      <c r="L30" s="55">
        <f t="shared" si="5"/>
        <v>-432.25</v>
      </c>
      <c r="M30" s="55">
        <f t="shared" si="6"/>
        <v>-104063.65</v>
      </c>
      <c r="N30" s="55">
        <f t="shared" si="0"/>
        <v>-432.25</v>
      </c>
      <c r="O30" s="57">
        <f t="shared" si="1"/>
        <v>0.7274524118327754</v>
      </c>
      <c r="P30" s="57">
        <f t="shared" si="7"/>
        <v>0.8125216863289382</v>
      </c>
      <c r="Q30" s="57">
        <f t="shared" si="2"/>
        <v>0.01768362328553763</v>
      </c>
    </row>
    <row r="31" spans="1:17" ht="15.75">
      <c r="A31" s="114" t="s">
        <v>52</v>
      </c>
      <c r="B31" s="118" t="s">
        <v>53</v>
      </c>
      <c r="C31" s="40" t="s">
        <v>54</v>
      </c>
      <c r="D31" s="10" t="s">
        <v>55</v>
      </c>
      <c r="E31" s="5"/>
      <c r="F31" s="5">
        <v>496</v>
      </c>
      <c r="G31" s="5">
        <f t="shared" si="3"/>
        <v>0</v>
      </c>
      <c r="H31" s="5"/>
      <c r="I31" s="78">
        <v>0</v>
      </c>
      <c r="J31" s="78">
        <v>0</v>
      </c>
      <c r="K31" s="5">
        <f t="shared" si="4"/>
        <v>0</v>
      </c>
      <c r="L31" s="5">
        <f t="shared" si="5"/>
        <v>0</v>
      </c>
      <c r="M31" s="5">
        <f t="shared" si="6"/>
        <v>-496</v>
      </c>
      <c r="N31" s="5">
        <f t="shared" si="0"/>
        <v>0</v>
      </c>
      <c r="O31" s="12">
        <f t="shared" si="1"/>
      </c>
      <c r="P31" s="12">
        <f t="shared" si="7"/>
      </c>
      <c r="Q31" s="12">
        <f t="shared" si="2"/>
        <v>0</v>
      </c>
    </row>
    <row r="32" spans="1:17" ht="15.75">
      <c r="A32" s="114"/>
      <c r="B32" s="118"/>
      <c r="C32" s="40" t="s">
        <v>56</v>
      </c>
      <c r="D32" s="15" t="s">
        <v>57</v>
      </c>
      <c r="E32" s="5">
        <v>4535.19</v>
      </c>
      <c r="F32" s="5">
        <v>100081.7</v>
      </c>
      <c r="G32" s="5">
        <f t="shared" si="3"/>
        <v>5500</v>
      </c>
      <c r="H32" s="5">
        <v>5500</v>
      </c>
      <c r="I32" s="78">
        <v>4758.14</v>
      </c>
      <c r="J32" s="78">
        <v>4758.14</v>
      </c>
      <c r="K32" s="5">
        <f t="shared" si="4"/>
        <v>222.95000000000073</v>
      </c>
      <c r="L32" s="5">
        <f t="shared" si="5"/>
        <v>-741.8599999999997</v>
      </c>
      <c r="M32" s="5">
        <f t="shared" si="6"/>
        <v>-95323.56</v>
      </c>
      <c r="N32" s="5">
        <f t="shared" si="0"/>
        <v>-741.8599999999997</v>
      </c>
      <c r="O32" s="12">
        <f t="shared" si="1"/>
        <v>1.0491600131416767</v>
      </c>
      <c r="P32" s="12">
        <f t="shared" si="7"/>
        <v>0.8651163636363637</v>
      </c>
      <c r="Q32" s="12">
        <f t="shared" si="2"/>
        <v>0.04754255773033432</v>
      </c>
    </row>
    <row r="33" spans="1:17" ht="15.75">
      <c r="A33" s="114"/>
      <c r="B33" s="118"/>
      <c r="C33" s="41" t="s">
        <v>48</v>
      </c>
      <c r="D33" s="14" t="s">
        <v>58</v>
      </c>
      <c r="E33" s="5">
        <v>29.17</v>
      </c>
      <c r="F33" s="5">
        <v>557</v>
      </c>
      <c r="G33" s="5">
        <f t="shared" si="3"/>
        <v>46.4</v>
      </c>
      <c r="H33" s="5">
        <v>46.4</v>
      </c>
      <c r="I33" s="78">
        <v>504.06</v>
      </c>
      <c r="J33" s="78">
        <v>504.06</v>
      </c>
      <c r="K33" s="5">
        <f t="shared" si="4"/>
        <v>474.89</v>
      </c>
      <c r="L33" s="5">
        <f t="shared" si="5"/>
        <v>457.66</v>
      </c>
      <c r="M33" s="5">
        <f t="shared" si="6"/>
        <v>-52.94</v>
      </c>
      <c r="N33" s="5">
        <f t="shared" si="0"/>
        <v>457.66</v>
      </c>
      <c r="O33" s="12">
        <f t="shared" si="1"/>
        <v>17.280082276311276</v>
      </c>
      <c r="P33" s="12">
        <f t="shared" si="7"/>
        <v>10.863362068965518</v>
      </c>
      <c r="Q33" s="12">
        <f t="shared" si="2"/>
        <v>0.9049551166965889</v>
      </c>
    </row>
    <row r="34" spans="1:17" ht="15.75">
      <c r="A34" s="114"/>
      <c r="B34" s="118"/>
      <c r="C34" s="41" t="s">
        <v>59</v>
      </c>
      <c r="D34" s="14" t="s">
        <v>60</v>
      </c>
      <c r="E34" s="9">
        <f>E35+E37+E36</f>
        <v>4778.7</v>
      </c>
      <c r="F34" s="16">
        <f>F35+F37+F36</f>
        <v>85540.8</v>
      </c>
      <c r="G34" s="16">
        <f t="shared" si="3"/>
        <v>4070.7</v>
      </c>
      <c r="H34" s="16">
        <f>H35+H37+H36</f>
        <v>4070.7</v>
      </c>
      <c r="I34" s="16">
        <f>I35+I37+I36</f>
        <v>87878.78</v>
      </c>
      <c r="J34" s="16">
        <f>J35+J37+J36</f>
        <v>87878.78</v>
      </c>
      <c r="K34" s="16">
        <f t="shared" si="4"/>
        <v>83100.08</v>
      </c>
      <c r="L34" s="16">
        <f t="shared" si="5"/>
        <v>83808.08</v>
      </c>
      <c r="M34" s="16">
        <f t="shared" si="6"/>
        <v>2337.979999999996</v>
      </c>
      <c r="N34" s="16">
        <f t="shared" si="0"/>
        <v>83808.08</v>
      </c>
      <c r="O34" s="12">
        <f t="shared" si="1"/>
        <v>18.389683386695125</v>
      </c>
      <c r="P34" s="12">
        <f t="shared" si="7"/>
        <v>21.58812489252463</v>
      </c>
      <c r="Q34" s="12">
        <f t="shared" si="2"/>
        <v>1.0273317528010024</v>
      </c>
    </row>
    <row r="35" spans="1:17" s="7" customFormat="1" ht="15.75">
      <c r="A35" s="114"/>
      <c r="B35" s="118"/>
      <c r="C35" s="42" t="s">
        <v>132</v>
      </c>
      <c r="D35" s="17" t="s">
        <v>61</v>
      </c>
      <c r="E35" s="18">
        <v>2125.33</v>
      </c>
      <c r="F35" s="18">
        <v>48594.6</v>
      </c>
      <c r="G35" s="18">
        <f t="shared" si="3"/>
        <v>1750</v>
      </c>
      <c r="H35" s="18">
        <v>1750</v>
      </c>
      <c r="I35" s="80">
        <v>86002.3</v>
      </c>
      <c r="J35" s="80">
        <v>86002.3</v>
      </c>
      <c r="K35" s="18">
        <f t="shared" si="4"/>
        <v>83876.97</v>
      </c>
      <c r="L35" s="18">
        <f t="shared" si="5"/>
        <v>84252.3</v>
      </c>
      <c r="M35" s="18">
        <f t="shared" si="6"/>
        <v>37407.700000000004</v>
      </c>
      <c r="N35" s="18">
        <f t="shared" si="0"/>
        <v>84252.3</v>
      </c>
      <c r="O35" s="12">
        <f t="shared" si="1"/>
        <v>40.4653865517355</v>
      </c>
      <c r="P35" s="12">
        <f t="shared" si="7"/>
        <v>49.14417142857143</v>
      </c>
      <c r="Q35" s="12">
        <f t="shared" si="2"/>
        <v>1.7697912936828373</v>
      </c>
    </row>
    <row r="36" spans="1:17" s="7" customFormat="1" ht="15.75">
      <c r="A36" s="114"/>
      <c r="B36" s="118"/>
      <c r="C36" s="42" t="s">
        <v>133</v>
      </c>
      <c r="D36" s="17" t="s">
        <v>62</v>
      </c>
      <c r="E36" s="18"/>
      <c r="F36" s="18">
        <v>1867.8</v>
      </c>
      <c r="G36" s="18">
        <f t="shared" si="3"/>
        <v>0</v>
      </c>
      <c r="H36" s="18"/>
      <c r="I36" s="80">
        <v>0</v>
      </c>
      <c r="J36" s="80">
        <v>0</v>
      </c>
      <c r="K36" s="18">
        <f t="shared" si="4"/>
        <v>0</v>
      </c>
      <c r="L36" s="18">
        <f t="shared" si="5"/>
        <v>0</v>
      </c>
      <c r="M36" s="18">
        <f t="shared" si="6"/>
        <v>-1867.8</v>
      </c>
      <c r="N36" s="18">
        <f aca="true" t="shared" si="9" ref="N36:N67">J36-H36</f>
        <v>0</v>
      </c>
      <c r="O36" s="12">
        <f aca="true" t="shared" si="10" ref="O36:O67">_xlfn.IFERROR(I36/E36,"")</f>
      </c>
      <c r="P36" s="12">
        <f t="shared" si="7"/>
      </c>
      <c r="Q36" s="12">
        <f aca="true" t="shared" si="11" ref="Q36:Q67">_xlfn.IFERROR(I36/F36,"")</f>
        <v>0</v>
      </c>
    </row>
    <row r="37" spans="1:17" s="7" customFormat="1" ht="15.75">
      <c r="A37" s="114"/>
      <c r="B37" s="118"/>
      <c r="C37" s="42" t="s">
        <v>131</v>
      </c>
      <c r="D37" s="17" t="s">
        <v>63</v>
      </c>
      <c r="E37" s="18">
        <v>2653.37</v>
      </c>
      <c r="F37" s="18">
        <v>35078.4</v>
      </c>
      <c r="G37" s="18">
        <f t="shared" si="3"/>
        <v>2320.7</v>
      </c>
      <c r="H37" s="18">
        <v>2320.7</v>
      </c>
      <c r="I37" s="55">
        <v>1876.48</v>
      </c>
      <c r="J37" s="80">
        <v>1876.48</v>
      </c>
      <c r="K37" s="18">
        <f aca="true" t="shared" si="12" ref="K37:K61">I37-E37</f>
        <v>-776.8899999999999</v>
      </c>
      <c r="L37" s="18">
        <f aca="true" t="shared" si="13" ref="L37:L68">I37-G37</f>
        <v>-444.2199999999998</v>
      </c>
      <c r="M37" s="18">
        <f aca="true" t="shared" si="14" ref="M37:M68">I37-F37</f>
        <v>-33201.92</v>
      </c>
      <c r="N37" s="18">
        <f t="shared" si="9"/>
        <v>-444.2199999999998</v>
      </c>
      <c r="O37" s="12">
        <f t="shared" si="10"/>
        <v>0.7072063074505253</v>
      </c>
      <c r="P37" s="12">
        <f t="shared" si="7"/>
        <v>0.8085836170121085</v>
      </c>
      <c r="Q37" s="12">
        <f t="shared" si="11"/>
        <v>0.053493887976646594</v>
      </c>
    </row>
    <row r="38" spans="1:17" s="7" customFormat="1" ht="15.75">
      <c r="A38" s="114"/>
      <c r="B38" s="114"/>
      <c r="C38" s="92"/>
      <c r="D38" s="98" t="s">
        <v>15</v>
      </c>
      <c r="E38" s="55">
        <f>SUM(E31:E34)</f>
        <v>9343.06</v>
      </c>
      <c r="F38" s="55">
        <f>SUM(F31:F34)</f>
        <v>186675.5</v>
      </c>
      <c r="G38" s="55">
        <f t="shared" si="3"/>
        <v>9617.099999999999</v>
      </c>
      <c r="H38" s="55">
        <f>SUM(H31:H34)</f>
        <v>9617.099999999999</v>
      </c>
      <c r="I38" s="55">
        <f>SUM(I31:I34)</f>
        <v>93140.98</v>
      </c>
      <c r="J38" s="55">
        <f>SUM(J31:J34)</f>
        <v>93140.98</v>
      </c>
      <c r="K38" s="55">
        <f t="shared" si="12"/>
        <v>83797.92</v>
      </c>
      <c r="L38" s="55">
        <f t="shared" si="13"/>
        <v>83523.88</v>
      </c>
      <c r="M38" s="55">
        <f t="shared" si="14"/>
        <v>-93534.52</v>
      </c>
      <c r="N38" s="55">
        <f t="shared" si="9"/>
        <v>83523.88</v>
      </c>
      <c r="O38" s="57">
        <f t="shared" si="10"/>
        <v>9.969001590485345</v>
      </c>
      <c r="P38" s="57">
        <f t="shared" si="7"/>
        <v>9.68493412775161</v>
      </c>
      <c r="Q38" s="57">
        <f t="shared" si="11"/>
        <v>0.49894592488034045</v>
      </c>
    </row>
    <row r="39" spans="1:17" ht="31.5">
      <c r="A39" s="114" t="s">
        <v>112</v>
      </c>
      <c r="B39" s="118" t="s">
        <v>25</v>
      </c>
      <c r="C39" s="41" t="s">
        <v>147</v>
      </c>
      <c r="D39" s="14" t="s">
        <v>65</v>
      </c>
      <c r="E39" s="16">
        <v>7794.14</v>
      </c>
      <c r="F39" s="16">
        <v>326627.4</v>
      </c>
      <c r="G39" s="16">
        <f t="shared" si="3"/>
        <v>8000</v>
      </c>
      <c r="H39" s="16">
        <v>8000</v>
      </c>
      <c r="I39" s="79">
        <v>8259.92</v>
      </c>
      <c r="J39" s="79">
        <v>8259.92</v>
      </c>
      <c r="K39" s="16">
        <f t="shared" si="12"/>
        <v>465.77999999999975</v>
      </c>
      <c r="L39" s="16">
        <f t="shared" si="13"/>
        <v>259.9200000000001</v>
      </c>
      <c r="M39" s="16">
        <f t="shared" si="14"/>
        <v>-318367.48000000004</v>
      </c>
      <c r="N39" s="16">
        <f t="shared" si="9"/>
        <v>259.9200000000001</v>
      </c>
      <c r="O39" s="12">
        <f t="shared" si="10"/>
        <v>1.0597602814422116</v>
      </c>
      <c r="P39" s="12">
        <f t="shared" si="7"/>
        <v>1.03249</v>
      </c>
      <c r="Q39" s="12">
        <f t="shared" si="11"/>
        <v>0.02528850916977571</v>
      </c>
    </row>
    <row r="40" spans="1:17" ht="15.75">
      <c r="A40" s="114"/>
      <c r="B40" s="118"/>
      <c r="C40" s="41" t="s">
        <v>145</v>
      </c>
      <c r="D40" s="14" t="s">
        <v>66</v>
      </c>
      <c r="E40" s="16">
        <v>154.15</v>
      </c>
      <c r="F40" s="16">
        <v>245061.4</v>
      </c>
      <c r="G40" s="16">
        <f t="shared" si="3"/>
        <v>600</v>
      </c>
      <c r="H40" s="16">
        <v>600</v>
      </c>
      <c r="I40" s="79">
        <v>4597.849999999999</v>
      </c>
      <c r="J40" s="79">
        <v>4597.849999999999</v>
      </c>
      <c r="K40" s="16">
        <f t="shared" si="12"/>
        <v>4443.7</v>
      </c>
      <c r="L40" s="16">
        <f t="shared" si="13"/>
        <v>3997.8499999999995</v>
      </c>
      <c r="M40" s="16">
        <f t="shared" si="14"/>
        <v>-240463.55</v>
      </c>
      <c r="N40" s="16">
        <f t="shared" si="9"/>
        <v>3997.8499999999995</v>
      </c>
      <c r="O40" s="12">
        <f t="shared" si="10"/>
        <v>29.82711644502108</v>
      </c>
      <c r="P40" s="12">
        <f t="shared" si="7"/>
        <v>7.663083333333333</v>
      </c>
      <c r="Q40" s="12">
        <f t="shared" si="11"/>
        <v>0.018762032698744067</v>
      </c>
    </row>
    <row r="41" spans="1:17" ht="31.5">
      <c r="A41" s="114"/>
      <c r="B41" s="118"/>
      <c r="C41" s="40" t="s">
        <v>150</v>
      </c>
      <c r="D41" s="10" t="s">
        <v>67</v>
      </c>
      <c r="E41" s="16">
        <v>795.54</v>
      </c>
      <c r="F41" s="9">
        <v>48566.2</v>
      </c>
      <c r="G41" s="9">
        <f t="shared" si="3"/>
        <v>400</v>
      </c>
      <c r="H41" s="9">
        <v>400</v>
      </c>
      <c r="I41" s="79">
        <v>237.81</v>
      </c>
      <c r="J41" s="79">
        <v>237.81</v>
      </c>
      <c r="K41" s="9">
        <f t="shared" si="12"/>
        <v>-557.73</v>
      </c>
      <c r="L41" s="9">
        <f t="shared" si="13"/>
        <v>-162.19</v>
      </c>
      <c r="M41" s="9">
        <f t="shared" si="14"/>
        <v>-48328.39</v>
      </c>
      <c r="N41" s="9">
        <f t="shared" si="9"/>
        <v>-162.19</v>
      </c>
      <c r="O41" s="12">
        <f t="shared" si="10"/>
        <v>0.2989290293385625</v>
      </c>
      <c r="P41" s="12">
        <f t="shared" si="7"/>
        <v>0.594525</v>
      </c>
      <c r="Q41" s="12">
        <f t="shared" si="11"/>
        <v>0.004896615341533825</v>
      </c>
    </row>
    <row r="42" spans="1:17" ht="15.75" hidden="1">
      <c r="A42" s="130"/>
      <c r="B42" s="133"/>
      <c r="C42" s="43" t="s">
        <v>144</v>
      </c>
      <c r="D42" s="14" t="s">
        <v>66</v>
      </c>
      <c r="E42" s="16"/>
      <c r="F42" s="9"/>
      <c r="G42" s="9">
        <f t="shared" si="3"/>
        <v>0</v>
      </c>
      <c r="H42" s="9"/>
      <c r="I42" s="79">
        <v>0</v>
      </c>
      <c r="J42" s="79">
        <v>0</v>
      </c>
      <c r="K42" s="9">
        <f t="shared" si="12"/>
        <v>0</v>
      </c>
      <c r="L42" s="9">
        <f t="shared" si="13"/>
        <v>0</v>
      </c>
      <c r="M42" s="9">
        <f t="shared" si="14"/>
        <v>0</v>
      </c>
      <c r="N42" s="9">
        <f t="shared" si="9"/>
        <v>0</v>
      </c>
      <c r="O42" s="12">
        <f t="shared" si="10"/>
      </c>
      <c r="P42" s="12">
        <f t="shared" si="7"/>
      </c>
      <c r="Q42" s="12">
        <f t="shared" si="11"/>
      </c>
    </row>
    <row r="43" spans="1:17" ht="31.5">
      <c r="A43" s="131"/>
      <c r="B43" s="123"/>
      <c r="C43" s="44" t="s">
        <v>120</v>
      </c>
      <c r="D43" s="19" t="s">
        <v>121</v>
      </c>
      <c r="E43" s="9">
        <v>352.60999999999996</v>
      </c>
      <c r="F43" s="9">
        <v>2948.3</v>
      </c>
      <c r="G43" s="9">
        <f t="shared" si="3"/>
        <v>0</v>
      </c>
      <c r="H43" s="9"/>
      <c r="I43" s="79">
        <v>211.88</v>
      </c>
      <c r="J43" s="79">
        <v>211.88</v>
      </c>
      <c r="K43" s="9">
        <f t="shared" si="12"/>
        <v>-140.72999999999996</v>
      </c>
      <c r="L43" s="9">
        <f t="shared" si="13"/>
        <v>211.88</v>
      </c>
      <c r="M43" s="9">
        <f t="shared" si="14"/>
        <v>-2736.42</v>
      </c>
      <c r="N43" s="9">
        <f t="shared" si="9"/>
        <v>211.88</v>
      </c>
      <c r="O43" s="12">
        <f t="shared" si="10"/>
        <v>0.6008905022546156</v>
      </c>
      <c r="P43" s="12">
        <f t="shared" si="7"/>
      </c>
      <c r="Q43" s="12">
        <f t="shared" si="11"/>
        <v>0.0718651426245633</v>
      </c>
    </row>
    <row r="44" spans="1:17" ht="15.75">
      <c r="A44" s="132"/>
      <c r="B44" s="134"/>
      <c r="C44" s="45" t="s">
        <v>137</v>
      </c>
      <c r="D44" s="20" t="s">
        <v>134</v>
      </c>
      <c r="E44" s="9">
        <v>56.27</v>
      </c>
      <c r="F44" s="9"/>
      <c r="G44" s="9">
        <f t="shared" si="3"/>
        <v>0</v>
      </c>
      <c r="H44" s="9"/>
      <c r="I44" s="79">
        <v>7.5</v>
      </c>
      <c r="J44" s="79">
        <v>7.5</v>
      </c>
      <c r="K44" s="9">
        <f t="shared" si="12"/>
        <v>-48.77</v>
      </c>
      <c r="L44" s="9">
        <f t="shared" si="13"/>
        <v>7.5</v>
      </c>
      <c r="M44" s="9">
        <f t="shared" si="14"/>
        <v>7.5</v>
      </c>
      <c r="N44" s="9">
        <f t="shared" si="9"/>
        <v>7.5</v>
      </c>
      <c r="O44" s="12">
        <f t="shared" si="10"/>
        <v>0.1332859427759019</v>
      </c>
      <c r="P44" s="12">
        <f t="shared" si="7"/>
      </c>
      <c r="Q44" s="12">
        <f t="shared" si="11"/>
      </c>
    </row>
    <row r="45" spans="1:17" ht="31.5">
      <c r="A45" s="114"/>
      <c r="B45" s="118"/>
      <c r="C45" s="41" t="s">
        <v>68</v>
      </c>
      <c r="D45" s="14" t="s">
        <v>69</v>
      </c>
      <c r="E45" s="5">
        <v>285.56</v>
      </c>
      <c r="F45" s="5">
        <v>104142</v>
      </c>
      <c r="G45" s="5">
        <f t="shared" si="3"/>
        <v>440</v>
      </c>
      <c r="H45" s="5">
        <v>440</v>
      </c>
      <c r="I45" s="79">
        <v>8826.37</v>
      </c>
      <c r="J45" s="79">
        <v>8826.37</v>
      </c>
      <c r="K45" s="5">
        <f t="shared" si="12"/>
        <v>8540.810000000001</v>
      </c>
      <c r="L45" s="5">
        <f t="shared" si="13"/>
        <v>8386.37</v>
      </c>
      <c r="M45" s="5">
        <f t="shared" si="14"/>
        <v>-95315.63</v>
      </c>
      <c r="N45" s="5">
        <f t="shared" si="9"/>
        <v>8386.37</v>
      </c>
      <c r="O45" s="12">
        <f t="shared" si="10"/>
        <v>30.908985852360278</v>
      </c>
      <c r="P45" s="12">
        <f t="shared" si="7"/>
        <v>20.05993181818182</v>
      </c>
      <c r="Q45" s="12">
        <f t="shared" si="11"/>
        <v>0.08475322156286609</v>
      </c>
    </row>
    <row r="46" spans="1:17" ht="33.75" customHeight="1" hidden="1">
      <c r="A46" s="114"/>
      <c r="B46" s="118"/>
      <c r="C46" s="41" t="s">
        <v>70</v>
      </c>
      <c r="D46" s="14" t="s">
        <v>71</v>
      </c>
      <c r="E46" s="5"/>
      <c r="F46" s="5"/>
      <c r="G46" s="5">
        <f t="shared" si="3"/>
        <v>0</v>
      </c>
      <c r="H46" s="5"/>
      <c r="I46" s="79">
        <v>0</v>
      </c>
      <c r="J46" s="79">
        <v>0</v>
      </c>
      <c r="K46" s="5">
        <f t="shared" si="12"/>
        <v>0</v>
      </c>
      <c r="L46" s="5">
        <f t="shared" si="13"/>
        <v>0</v>
      </c>
      <c r="M46" s="5">
        <f t="shared" si="14"/>
        <v>0</v>
      </c>
      <c r="N46" s="5">
        <f t="shared" si="9"/>
        <v>0</v>
      </c>
      <c r="O46" s="12">
        <f t="shared" si="10"/>
      </c>
      <c r="P46" s="12">
        <f t="shared" si="7"/>
      </c>
      <c r="Q46" s="12">
        <f t="shared" si="11"/>
      </c>
    </row>
    <row r="47" spans="1:17" ht="31.5">
      <c r="A47" s="114"/>
      <c r="B47" s="118"/>
      <c r="C47" s="41" t="s">
        <v>72</v>
      </c>
      <c r="D47" s="14" t="s">
        <v>73</v>
      </c>
      <c r="E47" s="5">
        <v>5384.42</v>
      </c>
      <c r="F47" s="5">
        <v>45272.2</v>
      </c>
      <c r="G47" s="5">
        <f t="shared" si="3"/>
        <v>1000</v>
      </c>
      <c r="H47" s="5">
        <v>1000</v>
      </c>
      <c r="I47" s="78">
        <v>5684.82</v>
      </c>
      <c r="J47" s="78">
        <v>5684.82</v>
      </c>
      <c r="K47" s="5">
        <f t="shared" si="12"/>
        <v>300.39999999999964</v>
      </c>
      <c r="L47" s="5">
        <f t="shared" si="13"/>
        <v>4684.82</v>
      </c>
      <c r="M47" s="5">
        <f t="shared" si="14"/>
        <v>-39587.38</v>
      </c>
      <c r="N47" s="5">
        <f t="shared" si="9"/>
        <v>4684.82</v>
      </c>
      <c r="O47" s="12">
        <f t="shared" si="10"/>
        <v>1.0557905958301914</v>
      </c>
      <c r="P47" s="12">
        <f t="shared" si="7"/>
        <v>5.684819999999999</v>
      </c>
      <c r="Q47" s="12">
        <f t="shared" si="11"/>
        <v>0.12556977571224726</v>
      </c>
    </row>
    <row r="48" spans="1:17" s="7" customFormat="1" ht="15.75">
      <c r="A48" s="114"/>
      <c r="B48" s="114"/>
      <c r="C48" s="99"/>
      <c r="D48" s="98" t="s">
        <v>15</v>
      </c>
      <c r="E48" s="55">
        <f>SUM(E39:E47)</f>
        <v>14822.69</v>
      </c>
      <c r="F48" s="55">
        <f>SUM(F39:F47)</f>
        <v>772617.5</v>
      </c>
      <c r="G48" s="55">
        <f t="shared" si="3"/>
        <v>10440</v>
      </c>
      <c r="H48" s="55">
        <f>SUM(H39:H47)</f>
        <v>10440</v>
      </c>
      <c r="I48" s="55">
        <f>SUM(I39:I47)</f>
        <v>27826.15</v>
      </c>
      <c r="J48" s="55">
        <f>SUM(J39:J47)</f>
        <v>27826.15</v>
      </c>
      <c r="K48" s="55">
        <f t="shared" si="12"/>
        <v>13003.460000000001</v>
      </c>
      <c r="L48" s="55">
        <f t="shared" si="13"/>
        <v>17386.15</v>
      </c>
      <c r="M48" s="55">
        <f t="shared" si="14"/>
        <v>-744791.35</v>
      </c>
      <c r="N48" s="55">
        <f t="shared" si="9"/>
        <v>17386.15</v>
      </c>
      <c r="O48" s="12">
        <f t="shared" si="10"/>
        <v>1.8772672166792936</v>
      </c>
      <c r="P48" s="12">
        <f t="shared" si="7"/>
        <v>2.6653400383141763</v>
      </c>
      <c r="Q48" s="12">
        <f t="shared" si="11"/>
        <v>0.03601542807404699</v>
      </c>
    </row>
    <row r="49" spans="1:17" ht="15.75">
      <c r="A49" s="114" t="s">
        <v>74</v>
      </c>
      <c r="B49" s="118" t="s">
        <v>75</v>
      </c>
      <c r="C49" s="40" t="s">
        <v>46</v>
      </c>
      <c r="D49" s="10" t="s">
        <v>47</v>
      </c>
      <c r="E49" s="11"/>
      <c r="F49" s="11">
        <v>4487</v>
      </c>
      <c r="G49" s="11">
        <f t="shared" si="3"/>
        <v>0</v>
      </c>
      <c r="H49" s="11"/>
      <c r="I49" s="78">
        <v>0</v>
      </c>
      <c r="J49" s="78">
        <v>0</v>
      </c>
      <c r="K49" s="11">
        <f t="shared" si="12"/>
        <v>0</v>
      </c>
      <c r="L49" s="11">
        <f t="shared" si="13"/>
        <v>0</v>
      </c>
      <c r="M49" s="11">
        <f t="shared" si="14"/>
        <v>-4487</v>
      </c>
      <c r="N49" s="11">
        <f t="shared" si="9"/>
        <v>0</v>
      </c>
      <c r="O49" s="12">
        <f t="shared" si="10"/>
      </c>
      <c r="P49" s="12">
        <f t="shared" si="7"/>
      </c>
      <c r="Q49" s="12">
        <f t="shared" si="11"/>
        <v>0</v>
      </c>
    </row>
    <row r="50" spans="1:17" s="7" customFormat="1" ht="15.75">
      <c r="A50" s="114"/>
      <c r="B50" s="118"/>
      <c r="C50" s="99"/>
      <c r="D50" s="100" t="s">
        <v>15</v>
      </c>
      <c r="E50" s="58">
        <f>SUM(E49:E49)</f>
        <v>0</v>
      </c>
      <c r="F50" s="58">
        <f>SUM(F49:F49)</f>
        <v>4487</v>
      </c>
      <c r="G50" s="58">
        <f t="shared" si="3"/>
        <v>0</v>
      </c>
      <c r="H50" s="58">
        <f>SUM(H49:H49)</f>
        <v>0</v>
      </c>
      <c r="I50" s="58">
        <f>SUM(I49:I49)</f>
        <v>0</v>
      </c>
      <c r="J50" s="58">
        <f>SUM(J49:J49)</f>
        <v>0</v>
      </c>
      <c r="K50" s="58">
        <f t="shared" si="12"/>
        <v>0</v>
      </c>
      <c r="L50" s="58">
        <f t="shared" si="13"/>
        <v>0</v>
      </c>
      <c r="M50" s="58">
        <f t="shared" si="14"/>
        <v>-4487</v>
      </c>
      <c r="N50" s="58">
        <f t="shared" si="9"/>
        <v>0</v>
      </c>
      <c r="O50" s="21">
        <f t="shared" si="10"/>
      </c>
      <c r="P50" s="21">
        <f t="shared" si="7"/>
      </c>
      <c r="Q50" s="21">
        <f t="shared" si="11"/>
        <v>0</v>
      </c>
    </row>
    <row r="51" spans="1:17" ht="15.75" hidden="1">
      <c r="A51" s="125" t="s">
        <v>77</v>
      </c>
      <c r="B51" s="127" t="s">
        <v>114</v>
      </c>
      <c r="C51" s="40" t="s">
        <v>46</v>
      </c>
      <c r="D51" s="22" t="s">
        <v>47</v>
      </c>
      <c r="E51" s="23"/>
      <c r="F51" s="23"/>
      <c r="G51" s="23">
        <f t="shared" si="3"/>
        <v>0</v>
      </c>
      <c r="H51" s="23"/>
      <c r="I51" s="78">
        <v>0</v>
      </c>
      <c r="J51" s="78">
        <v>0</v>
      </c>
      <c r="K51" s="23">
        <f t="shared" si="12"/>
        <v>0</v>
      </c>
      <c r="L51" s="23">
        <f t="shared" si="13"/>
        <v>0</v>
      </c>
      <c r="M51" s="23">
        <f t="shared" si="14"/>
        <v>0</v>
      </c>
      <c r="N51" s="23">
        <f t="shared" si="9"/>
        <v>0</v>
      </c>
      <c r="O51" s="21">
        <f t="shared" si="10"/>
      </c>
      <c r="P51" s="21">
        <f t="shared" si="7"/>
      </c>
      <c r="Q51" s="21">
        <f t="shared" si="11"/>
      </c>
    </row>
    <row r="52" spans="1:20" ht="15.75">
      <c r="A52" s="125"/>
      <c r="B52" s="127"/>
      <c r="C52" s="46" t="s">
        <v>125</v>
      </c>
      <c r="D52" s="24" t="s">
        <v>149</v>
      </c>
      <c r="E52" s="11">
        <v>29791.44</v>
      </c>
      <c r="F52" s="11">
        <v>537127.7</v>
      </c>
      <c r="G52" s="11">
        <f t="shared" si="3"/>
        <v>37367.8</v>
      </c>
      <c r="H52" s="11">
        <v>37367.8</v>
      </c>
      <c r="I52" s="78">
        <v>39273.2</v>
      </c>
      <c r="J52" s="78">
        <v>39273.2</v>
      </c>
      <c r="K52" s="11">
        <f t="shared" si="12"/>
        <v>9481.759999999998</v>
      </c>
      <c r="L52" s="11">
        <f t="shared" si="13"/>
        <v>1905.3999999999942</v>
      </c>
      <c r="M52" s="11">
        <f t="shared" si="14"/>
        <v>-497854.49999999994</v>
      </c>
      <c r="N52" s="11">
        <f t="shared" si="9"/>
        <v>1905.3999999999942</v>
      </c>
      <c r="O52" s="12">
        <f t="shared" si="10"/>
        <v>1.318271288665469</v>
      </c>
      <c r="P52" s="12">
        <f t="shared" si="7"/>
        <v>1.0509904249112871</v>
      </c>
      <c r="Q52" s="12">
        <f t="shared" si="11"/>
        <v>0.07311706322351277</v>
      </c>
      <c r="S52" s="69"/>
      <c r="T52" s="69"/>
    </row>
    <row r="53" spans="1:20" ht="15.75">
      <c r="A53" s="126"/>
      <c r="B53" s="128"/>
      <c r="C53" s="46" t="s">
        <v>126</v>
      </c>
      <c r="D53" s="24" t="s">
        <v>122</v>
      </c>
      <c r="E53" s="25">
        <v>29104.62</v>
      </c>
      <c r="F53" s="25">
        <v>354489</v>
      </c>
      <c r="G53" s="25">
        <f t="shared" si="3"/>
        <v>32087.5</v>
      </c>
      <c r="H53" s="25">
        <v>32087.5</v>
      </c>
      <c r="I53" s="78">
        <v>28617.14</v>
      </c>
      <c r="J53" s="78">
        <v>28617.14</v>
      </c>
      <c r="K53" s="25">
        <f t="shared" si="12"/>
        <v>-487.47999999999956</v>
      </c>
      <c r="L53" s="25">
        <f t="shared" si="13"/>
        <v>-3470.3600000000006</v>
      </c>
      <c r="M53" s="25">
        <f t="shared" si="14"/>
        <v>-325871.86</v>
      </c>
      <c r="N53" s="25">
        <f t="shared" si="9"/>
        <v>-3470.3600000000006</v>
      </c>
      <c r="O53" s="12">
        <f t="shared" si="10"/>
        <v>0.9832507691218783</v>
      </c>
      <c r="P53" s="12">
        <f t="shared" si="7"/>
        <v>0.8918469809115699</v>
      </c>
      <c r="Q53" s="12">
        <f t="shared" si="11"/>
        <v>0.08072786461639148</v>
      </c>
      <c r="S53" s="69"/>
      <c r="T53" s="69"/>
    </row>
    <row r="54" spans="1:20" ht="15.75">
      <c r="A54" s="125"/>
      <c r="B54" s="127"/>
      <c r="C54" s="46" t="s">
        <v>127</v>
      </c>
      <c r="D54" s="24" t="s">
        <v>123</v>
      </c>
      <c r="E54" s="11">
        <v>219194.97</v>
      </c>
      <c r="F54" s="11">
        <v>3510723.4</v>
      </c>
      <c r="G54" s="11">
        <f t="shared" si="3"/>
        <v>228600.5</v>
      </c>
      <c r="H54" s="11">
        <v>228600.5</v>
      </c>
      <c r="I54" s="78">
        <v>227693.44</v>
      </c>
      <c r="J54" s="78">
        <v>227693.44</v>
      </c>
      <c r="K54" s="11">
        <f t="shared" si="12"/>
        <v>8498.470000000001</v>
      </c>
      <c r="L54" s="11">
        <f t="shared" si="13"/>
        <v>-907.0599999999977</v>
      </c>
      <c r="M54" s="11">
        <f t="shared" si="14"/>
        <v>-3283029.96</v>
      </c>
      <c r="N54" s="11">
        <f t="shared" si="9"/>
        <v>-907.0599999999977</v>
      </c>
      <c r="O54" s="12">
        <f t="shared" si="10"/>
        <v>1.038771282023488</v>
      </c>
      <c r="P54" s="12">
        <f t="shared" si="7"/>
        <v>0.9960321171650981</v>
      </c>
      <c r="Q54" s="12">
        <f t="shared" si="11"/>
        <v>0.06485655919233056</v>
      </c>
      <c r="S54" s="70"/>
      <c r="T54" s="70"/>
    </row>
    <row r="55" spans="1:17" ht="15.75">
      <c r="A55" s="126"/>
      <c r="B55" s="128"/>
      <c r="C55" s="46" t="s">
        <v>146</v>
      </c>
      <c r="D55" s="24" t="s">
        <v>124</v>
      </c>
      <c r="E55" s="11">
        <v>16.8</v>
      </c>
      <c r="F55" s="11"/>
      <c r="G55" s="11">
        <f t="shared" si="3"/>
        <v>0</v>
      </c>
      <c r="H55" s="11"/>
      <c r="I55" s="78">
        <v>69.3</v>
      </c>
      <c r="J55" s="78">
        <v>69.3</v>
      </c>
      <c r="K55" s="11">
        <f t="shared" si="12"/>
        <v>52.5</v>
      </c>
      <c r="L55" s="11">
        <f t="shared" si="13"/>
        <v>69.3</v>
      </c>
      <c r="M55" s="11">
        <f t="shared" si="14"/>
        <v>69.3</v>
      </c>
      <c r="N55" s="11">
        <f t="shared" si="9"/>
        <v>69.3</v>
      </c>
      <c r="O55" s="12">
        <f t="shared" si="10"/>
        <v>4.125</v>
      </c>
      <c r="P55" s="12">
        <f t="shared" si="7"/>
      </c>
      <c r="Q55" s="12">
        <f t="shared" si="11"/>
      </c>
    </row>
    <row r="56" spans="1:17" s="7" customFormat="1" ht="15.75">
      <c r="A56" s="125"/>
      <c r="B56" s="127"/>
      <c r="C56" s="101"/>
      <c r="D56" s="102" t="s">
        <v>15</v>
      </c>
      <c r="E56" s="59">
        <f>SUM(E51:E55)</f>
        <v>278107.83</v>
      </c>
      <c r="F56" s="59">
        <f>SUM(F51:F55)</f>
        <v>4402340.1</v>
      </c>
      <c r="G56" s="59">
        <f t="shared" si="3"/>
        <v>298055.8</v>
      </c>
      <c r="H56" s="59">
        <f>SUM(H51:H55)</f>
        <v>298055.8</v>
      </c>
      <c r="I56" s="59">
        <f>SUM(I51:I55)</f>
        <v>295653.08</v>
      </c>
      <c r="J56" s="59">
        <f>SUM(J51:J55)</f>
        <v>295653.08</v>
      </c>
      <c r="K56" s="59">
        <f t="shared" si="12"/>
        <v>17545.25</v>
      </c>
      <c r="L56" s="59">
        <f t="shared" si="13"/>
        <v>-2402.719999999972</v>
      </c>
      <c r="M56" s="59">
        <f t="shared" si="14"/>
        <v>-4106687.0199999996</v>
      </c>
      <c r="N56" s="59">
        <f t="shared" si="9"/>
        <v>-2402.719999999972</v>
      </c>
      <c r="O56" s="12">
        <f t="shared" si="10"/>
        <v>1.0630879396671429</v>
      </c>
      <c r="P56" s="12">
        <f t="shared" si="7"/>
        <v>0.9919386906746993</v>
      </c>
      <c r="Q56" s="12">
        <f t="shared" si="11"/>
        <v>0.06715816435899626</v>
      </c>
    </row>
    <row r="57" spans="1:17" ht="15.75">
      <c r="A57" s="129">
        <v>991</v>
      </c>
      <c r="B57" s="129" t="s">
        <v>81</v>
      </c>
      <c r="C57" s="41" t="s">
        <v>48</v>
      </c>
      <c r="D57" s="14" t="s">
        <v>82</v>
      </c>
      <c r="E57" s="9">
        <v>3332.2</v>
      </c>
      <c r="F57" s="9">
        <v>54298.2</v>
      </c>
      <c r="G57" s="9">
        <f t="shared" si="3"/>
        <v>3500</v>
      </c>
      <c r="H57" s="9">
        <v>3500</v>
      </c>
      <c r="I57" s="79">
        <v>3755.25</v>
      </c>
      <c r="J57" s="79">
        <v>3755.25</v>
      </c>
      <c r="K57" s="9">
        <f t="shared" si="12"/>
        <v>423.0500000000002</v>
      </c>
      <c r="L57" s="9">
        <f t="shared" si="13"/>
        <v>255.25</v>
      </c>
      <c r="M57" s="9">
        <f t="shared" si="14"/>
        <v>-50542.95</v>
      </c>
      <c r="N57" s="9">
        <f t="shared" si="9"/>
        <v>255.25</v>
      </c>
      <c r="O57" s="12">
        <f t="shared" si="10"/>
        <v>1.126958165776364</v>
      </c>
      <c r="P57" s="12">
        <f t="shared" si="7"/>
        <v>1.0729285714285715</v>
      </c>
      <c r="Q57" s="12">
        <f t="shared" si="11"/>
        <v>0.0691597511519719</v>
      </c>
    </row>
    <row r="58" spans="1:17" ht="15.75" hidden="1">
      <c r="A58" s="129"/>
      <c r="B58" s="129"/>
      <c r="C58" s="40" t="s">
        <v>83</v>
      </c>
      <c r="D58" s="10" t="s">
        <v>84</v>
      </c>
      <c r="E58" s="9"/>
      <c r="F58" s="9"/>
      <c r="G58" s="9">
        <f t="shared" si="3"/>
        <v>0</v>
      </c>
      <c r="H58" s="9"/>
      <c r="I58" s="79">
        <v>0</v>
      </c>
      <c r="J58" s="79">
        <v>0</v>
      </c>
      <c r="K58" s="9">
        <f t="shared" si="12"/>
        <v>0</v>
      </c>
      <c r="L58" s="9">
        <f t="shared" si="13"/>
        <v>0</v>
      </c>
      <c r="M58" s="9">
        <f t="shared" si="14"/>
        <v>0</v>
      </c>
      <c r="N58" s="9">
        <f t="shared" si="9"/>
        <v>0</v>
      </c>
      <c r="O58" s="12">
        <f t="shared" si="10"/>
      </c>
      <c r="P58" s="12">
        <f t="shared" si="7"/>
      </c>
      <c r="Q58" s="12">
        <f t="shared" si="11"/>
      </c>
    </row>
    <row r="59" spans="1:17" ht="15.75" hidden="1">
      <c r="A59" s="129"/>
      <c r="B59" s="129"/>
      <c r="C59" s="40" t="s">
        <v>50</v>
      </c>
      <c r="D59" s="10" t="s">
        <v>85</v>
      </c>
      <c r="E59" s="5">
        <v>0</v>
      </c>
      <c r="F59" s="5">
        <v>0</v>
      </c>
      <c r="G59" s="5">
        <f t="shared" si="3"/>
        <v>0</v>
      </c>
      <c r="H59" s="5">
        <v>0</v>
      </c>
      <c r="I59" s="79">
        <v>0</v>
      </c>
      <c r="J59" s="79">
        <v>0</v>
      </c>
      <c r="K59" s="5">
        <f t="shared" si="12"/>
        <v>0</v>
      </c>
      <c r="L59" s="5">
        <f t="shared" si="13"/>
        <v>0</v>
      </c>
      <c r="M59" s="5">
        <f t="shared" si="14"/>
        <v>0</v>
      </c>
      <c r="N59" s="5">
        <f t="shared" si="9"/>
        <v>0</v>
      </c>
      <c r="O59" s="12">
        <f t="shared" si="10"/>
      </c>
      <c r="P59" s="12">
        <f t="shared" si="7"/>
      </c>
      <c r="Q59" s="12">
        <f t="shared" si="11"/>
      </c>
    </row>
    <row r="60" spans="1:17" s="7" customFormat="1" ht="15.75">
      <c r="A60" s="129"/>
      <c r="B60" s="129"/>
      <c r="C60" s="99"/>
      <c r="D60" s="98" t="s">
        <v>15</v>
      </c>
      <c r="E60" s="55">
        <f>SUM(E57:E59)</f>
        <v>3332.2</v>
      </c>
      <c r="F60" s="55">
        <f>SUM(F57:F59)</f>
        <v>54298.2</v>
      </c>
      <c r="G60" s="55">
        <f t="shared" si="3"/>
        <v>3500</v>
      </c>
      <c r="H60" s="55">
        <f>SUM(H57:H59)</f>
        <v>3500</v>
      </c>
      <c r="I60" s="55">
        <f>SUM(I57:I59)</f>
        <v>3755.25</v>
      </c>
      <c r="J60" s="55">
        <f>SUM(J57:J59)</f>
        <v>3755.25</v>
      </c>
      <c r="K60" s="55">
        <f t="shared" si="12"/>
        <v>423.0500000000002</v>
      </c>
      <c r="L60" s="55">
        <f t="shared" si="13"/>
        <v>255.25</v>
      </c>
      <c r="M60" s="55">
        <f t="shared" si="14"/>
        <v>-50542.95</v>
      </c>
      <c r="N60" s="55">
        <f t="shared" si="9"/>
        <v>255.25</v>
      </c>
      <c r="O60" s="57">
        <f t="shared" si="10"/>
        <v>1.126958165776364</v>
      </c>
      <c r="P60" s="57">
        <f t="shared" si="7"/>
        <v>1.0729285714285715</v>
      </c>
      <c r="Q60" s="57">
        <f t="shared" si="11"/>
        <v>0.0691597511519719</v>
      </c>
    </row>
    <row r="61" spans="1:17" ht="15.75">
      <c r="A61" s="114" t="s">
        <v>86</v>
      </c>
      <c r="B61" s="118" t="s">
        <v>87</v>
      </c>
      <c r="C61" s="40" t="s">
        <v>88</v>
      </c>
      <c r="D61" s="10" t="s">
        <v>89</v>
      </c>
      <c r="E61" s="9">
        <v>247.14</v>
      </c>
      <c r="F61" s="9">
        <v>7767.5</v>
      </c>
      <c r="G61" s="9">
        <f t="shared" si="3"/>
        <v>54.8</v>
      </c>
      <c r="H61" s="9">
        <v>54.8</v>
      </c>
      <c r="I61" s="77">
        <v>102.63</v>
      </c>
      <c r="J61" s="77">
        <v>102.63</v>
      </c>
      <c r="K61" s="9">
        <f t="shared" si="12"/>
        <v>-144.51</v>
      </c>
      <c r="L61" s="9">
        <f t="shared" si="13"/>
        <v>47.83</v>
      </c>
      <c r="M61" s="9">
        <f t="shared" si="14"/>
        <v>-7664.87</v>
      </c>
      <c r="N61" s="9">
        <f t="shared" si="9"/>
        <v>47.83</v>
      </c>
      <c r="O61" s="12">
        <f t="shared" si="10"/>
        <v>0.41527069677106093</v>
      </c>
      <c r="P61" s="12">
        <f t="shared" si="7"/>
        <v>1.8728102189781022</v>
      </c>
      <c r="Q61" s="12">
        <f t="shared" si="11"/>
        <v>0.013212745413582232</v>
      </c>
    </row>
    <row r="62" spans="1:17" s="7" customFormat="1" ht="15.75">
      <c r="A62" s="114"/>
      <c r="B62" s="118"/>
      <c r="C62" s="92"/>
      <c r="D62" s="98" t="s">
        <v>15</v>
      </c>
      <c r="E62" s="60">
        <f>E61</f>
        <v>247.14</v>
      </c>
      <c r="F62" s="60">
        <f aca="true" t="shared" si="15" ref="F62:K62">F61</f>
        <v>7767.5</v>
      </c>
      <c r="G62" s="60">
        <f t="shared" si="3"/>
        <v>54.8</v>
      </c>
      <c r="H62" s="60">
        <f t="shared" si="15"/>
        <v>54.8</v>
      </c>
      <c r="I62" s="60">
        <f t="shared" si="15"/>
        <v>102.63</v>
      </c>
      <c r="J62" s="60">
        <f t="shared" si="15"/>
        <v>102.63</v>
      </c>
      <c r="K62" s="60">
        <f t="shared" si="15"/>
        <v>-144.51</v>
      </c>
      <c r="L62" s="60">
        <f t="shared" si="13"/>
        <v>47.83</v>
      </c>
      <c r="M62" s="60">
        <f t="shared" si="14"/>
        <v>-7664.87</v>
      </c>
      <c r="N62" s="60">
        <f t="shared" si="9"/>
        <v>47.83</v>
      </c>
      <c r="O62" s="57">
        <f t="shared" si="10"/>
        <v>0.41527069677106093</v>
      </c>
      <c r="P62" s="57">
        <f t="shared" si="7"/>
        <v>1.8728102189781022</v>
      </c>
      <c r="Q62" s="57">
        <f t="shared" si="11"/>
        <v>0.013212745413582232</v>
      </c>
    </row>
    <row r="63" spans="1:17" ht="15.75" hidden="1">
      <c r="A63" s="114" t="s">
        <v>90</v>
      </c>
      <c r="B63" s="118" t="s">
        <v>91</v>
      </c>
      <c r="C63" s="40" t="s">
        <v>50</v>
      </c>
      <c r="D63" s="10" t="s">
        <v>85</v>
      </c>
      <c r="E63" s="9">
        <v>0</v>
      </c>
      <c r="F63" s="9">
        <v>0</v>
      </c>
      <c r="G63" s="9">
        <f t="shared" si="3"/>
        <v>0</v>
      </c>
      <c r="H63" s="9">
        <v>0</v>
      </c>
      <c r="I63" s="25">
        <v>0</v>
      </c>
      <c r="J63" s="25">
        <v>0</v>
      </c>
      <c r="K63" s="9">
        <f aca="true" t="shared" si="16" ref="K63:K88">I63-E63</f>
        <v>0</v>
      </c>
      <c r="L63" s="9">
        <f t="shared" si="13"/>
        <v>0</v>
      </c>
      <c r="M63" s="9">
        <f t="shared" si="14"/>
        <v>0</v>
      </c>
      <c r="N63" s="9">
        <f t="shared" si="9"/>
        <v>0</v>
      </c>
      <c r="O63" s="12">
        <f t="shared" si="10"/>
      </c>
      <c r="P63" s="12">
        <f t="shared" si="7"/>
      </c>
      <c r="Q63" s="12">
        <f t="shared" si="11"/>
      </c>
    </row>
    <row r="64" spans="1:17" s="7" customFormat="1" ht="15.75" hidden="1">
      <c r="A64" s="114"/>
      <c r="B64" s="118"/>
      <c r="C64" s="92"/>
      <c r="D64" s="98" t="s">
        <v>15</v>
      </c>
      <c r="E64" s="54">
        <f>E63</f>
        <v>0</v>
      </c>
      <c r="F64" s="54">
        <f>F63</f>
        <v>0</v>
      </c>
      <c r="G64" s="54">
        <f t="shared" si="3"/>
        <v>0</v>
      </c>
      <c r="H64" s="54">
        <f>H63</f>
        <v>0</v>
      </c>
      <c r="I64" s="54">
        <v>0</v>
      </c>
      <c r="J64" s="54">
        <v>0</v>
      </c>
      <c r="K64" s="54">
        <f t="shared" si="16"/>
        <v>0</v>
      </c>
      <c r="L64" s="54">
        <f t="shared" si="13"/>
        <v>0</v>
      </c>
      <c r="M64" s="54">
        <f t="shared" si="14"/>
        <v>0</v>
      </c>
      <c r="N64" s="54">
        <f t="shared" si="9"/>
        <v>0</v>
      </c>
      <c r="O64" s="12">
        <f t="shared" si="10"/>
      </c>
      <c r="P64" s="12">
        <f t="shared" si="7"/>
      </c>
      <c r="Q64" s="12">
        <f t="shared" si="11"/>
      </c>
    </row>
    <row r="65" spans="1:17" ht="15.75">
      <c r="A65" s="118"/>
      <c r="B65" s="118" t="s">
        <v>92</v>
      </c>
      <c r="C65" s="40" t="s">
        <v>119</v>
      </c>
      <c r="D65" s="15" t="s">
        <v>93</v>
      </c>
      <c r="E65" s="9">
        <v>29.06</v>
      </c>
      <c r="F65" s="9">
        <v>41.2</v>
      </c>
      <c r="G65" s="9">
        <f t="shared" si="3"/>
        <v>8.9</v>
      </c>
      <c r="H65" s="9">
        <v>8.9</v>
      </c>
      <c r="I65" s="77">
        <v>10.61</v>
      </c>
      <c r="J65" s="77">
        <v>10.61</v>
      </c>
      <c r="K65" s="9">
        <f t="shared" si="16"/>
        <v>-18.45</v>
      </c>
      <c r="L65" s="9">
        <f t="shared" si="13"/>
        <v>1.709999999999999</v>
      </c>
      <c r="M65" s="9">
        <f t="shared" si="14"/>
        <v>-30.590000000000003</v>
      </c>
      <c r="N65" s="9">
        <f t="shared" si="9"/>
        <v>1.709999999999999</v>
      </c>
      <c r="O65" s="12">
        <f t="shared" si="10"/>
        <v>0.36510667584308326</v>
      </c>
      <c r="P65" s="12">
        <f t="shared" si="7"/>
        <v>1.1921348314606741</v>
      </c>
      <c r="Q65" s="12">
        <f t="shared" si="11"/>
        <v>0.25752427184466015</v>
      </c>
    </row>
    <row r="66" spans="1:17" ht="15.75">
      <c r="A66" s="123"/>
      <c r="B66" s="123"/>
      <c r="C66" s="40" t="s">
        <v>120</v>
      </c>
      <c r="D66" s="10" t="s">
        <v>167</v>
      </c>
      <c r="E66" s="26">
        <v>8.100000000000001</v>
      </c>
      <c r="F66" s="26">
        <v>47.1</v>
      </c>
      <c r="G66" s="26">
        <f t="shared" si="3"/>
        <v>0</v>
      </c>
      <c r="H66" s="26"/>
      <c r="I66" s="81">
        <v>-163.38</v>
      </c>
      <c r="J66" s="81">
        <v>-163.38</v>
      </c>
      <c r="K66" s="26">
        <f t="shared" si="16"/>
        <v>-171.48</v>
      </c>
      <c r="L66" s="26">
        <f t="shared" si="13"/>
        <v>-163.38</v>
      </c>
      <c r="M66" s="26">
        <f t="shared" si="14"/>
        <v>-210.48</v>
      </c>
      <c r="N66" s="26">
        <f t="shared" si="9"/>
        <v>-163.38</v>
      </c>
      <c r="O66" s="12">
        <f t="shared" si="10"/>
        <v>-20.170370370370367</v>
      </c>
      <c r="P66" s="12">
        <f t="shared" si="7"/>
      </c>
      <c r="Q66" s="12">
        <f t="shared" si="11"/>
        <v>-3.4687898089171973</v>
      </c>
    </row>
    <row r="67" spans="1:17" ht="15.75">
      <c r="A67" s="118"/>
      <c r="B67" s="118"/>
      <c r="C67" s="40" t="s">
        <v>46</v>
      </c>
      <c r="D67" s="10" t="s">
        <v>47</v>
      </c>
      <c r="E67" s="9"/>
      <c r="F67" s="9">
        <v>6100</v>
      </c>
      <c r="G67" s="9">
        <f t="shared" si="3"/>
        <v>0</v>
      </c>
      <c r="H67" s="9"/>
      <c r="I67" s="77">
        <v>0</v>
      </c>
      <c r="J67" s="77">
        <v>0</v>
      </c>
      <c r="K67" s="9">
        <f t="shared" si="16"/>
        <v>0</v>
      </c>
      <c r="L67" s="9">
        <f t="shared" si="13"/>
        <v>0</v>
      </c>
      <c r="M67" s="9">
        <f t="shared" si="14"/>
        <v>-6100</v>
      </c>
      <c r="N67" s="9">
        <f t="shared" si="9"/>
        <v>0</v>
      </c>
      <c r="O67" s="12">
        <f t="shared" si="10"/>
      </c>
      <c r="P67" s="12">
        <f t="shared" si="7"/>
      </c>
      <c r="Q67" s="12">
        <f t="shared" si="11"/>
        <v>0</v>
      </c>
    </row>
    <row r="68" spans="1:17" ht="15.75">
      <c r="A68" s="118"/>
      <c r="B68" s="118"/>
      <c r="C68" s="40" t="s">
        <v>128</v>
      </c>
      <c r="D68" s="10" t="s">
        <v>76</v>
      </c>
      <c r="E68" s="5">
        <v>399.7300000000001</v>
      </c>
      <c r="F68" s="5">
        <v>680.5</v>
      </c>
      <c r="G68" s="5">
        <f t="shared" si="3"/>
        <v>40</v>
      </c>
      <c r="H68" s="5">
        <v>40</v>
      </c>
      <c r="I68" s="79">
        <v>7468.57</v>
      </c>
      <c r="J68" s="79">
        <v>7468.57</v>
      </c>
      <c r="K68" s="5">
        <f t="shared" si="16"/>
        <v>7068.839999999999</v>
      </c>
      <c r="L68" s="5">
        <f t="shared" si="13"/>
        <v>7428.57</v>
      </c>
      <c r="M68" s="5">
        <f t="shared" si="14"/>
        <v>6788.07</v>
      </c>
      <c r="N68" s="5">
        <f aca="true" t="shared" si="17" ref="N68:N87">J68-H68</f>
        <v>7428.57</v>
      </c>
      <c r="O68" s="12">
        <f aca="true" t="shared" si="18" ref="O68:O87">_xlfn.IFERROR(I68/E68,"")</f>
        <v>18.684036724789227</v>
      </c>
      <c r="P68" s="12">
        <f t="shared" si="7"/>
        <v>186.71425</v>
      </c>
      <c r="Q68" s="12">
        <f aca="true" t="shared" si="19" ref="Q68:Q88">_xlfn.IFERROR(I68/F68,"")</f>
        <v>10.97512123438648</v>
      </c>
    </row>
    <row r="69" spans="1:17" ht="15.75">
      <c r="A69" s="118"/>
      <c r="B69" s="118"/>
      <c r="C69" s="40" t="s">
        <v>79</v>
      </c>
      <c r="D69" s="10" t="s">
        <v>80</v>
      </c>
      <c r="E69" s="5">
        <v>3306.9900000000007</v>
      </c>
      <c r="F69" s="5">
        <v>86939.9</v>
      </c>
      <c r="G69" s="5">
        <f aca="true" t="shared" si="20" ref="G69:G88">H69</f>
        <v>3665.7999999999997</v>
      </c>
      <c r="H69" s="5">
        <v>3665.7999999999997</v>
      </c>
      <c r="I69" s="78">
        <f>4246.89+0.02</f>
        <v>4246.910000000001</v>
      </c>
      <c r="J69" s="78">
        <f>4246.89+0.02</f>
        <v>4246.910000000001</v>
      </c>
      <c r="K69" s="5">
        <f t="shared" si="16"/>
        <v>939.9200000000001</v>
      </c>
      <c r="L69" s="5">
        <f aca="true" t="shared" si="21" ref="L69:L88">I69-G69</f>
        <v>581.110000000001</v>
      </c>
      <c r="M69" s="5">
        <f aca="true" t="shared" si="22" ref="M69:M88">I69-F69</f>
        <v>-82692.98999999999</v>
      </c>
      <c r="N69" s="5">
        <f t="shared" si="17"/>
        <v>581.110000000001</v>
      </c>
      <c r="O69" s="12">
        <f t="shared" si="18"/>
        <v>1.2842222081106989</v>
      </c>
      <c r="P69" s="12">
        <f aca="true" t="shared" si="23" ref="P69:P88">_xlfn.IFERROR(J69/H69,"")</f>
        <v>1.158522014294288</v>
      </c>
      <c r="Q69" s="12">
        <f t="shared" si="19"/>
        <v>0.04884880244858806</v>
      </c>
    </row>
    <row r="70" spans="1:17" ht="15.75">
      <c r="A70" s="118"/>
      <c r="B70" s="118"/>
      <c r="C70" s="40" t="s">
        <v>94</v>
      </c>
      <c r="D70" s="10" t="s">
        <v>95</v>
      </c>
      <c r="E70" s="5">
        <v>70.29</v>
      </c>
      <c r="F70" s="5"/>
      <c r="G70" s="5">
        <f t="shared" si="20"/>
        <v>0</v>
      </c>
      <c r="H70" s="5"/>
      <c r="I70" s="78">
        <v>-6152.79</v>
      </c>
      <c r="J70" s="78">
        <v>-6152.79</v>
      </c>
      <c r="K70" s="5">
        <f t="shared" si="16"/>
        <v>-6223.08</v>
      </c>
      <c r="L70" s="5">
        <f t="shared" si="21"/>
        <v>-6152.79</v>
      </c>
      <c r="M70" s="5">
        <f t="shared" si="22"/>
        <v>-6152.79</v>
      </c>
      <c r="N70" s="5">
        <f t="shared" si="17"/>
        <v>-6152.79</v>
      </c>
      <c r="O70" s="12">
        <f t="shared" si="18"/>
        <v>-87.53435766111822</v>
      </c>
      <c r="P70" s="12">
        <f t="shared" si="23"/>
      </c>
      <c r="Q70" s="12">
        <f t="shared" si="19"/>
      </c>
    </row>
    <row r="71" spans="1:17" ht="15.75">
      <c r="A71" s="118"/>
      <c r="B71" s="118"/>
      <c r="C71" s="40" t="s">
        <v>50</v>
      </c>
      <c r="D71" s="10" t="s">
        <v>64</v>
      </c>
      <c r="E71" s="5">
        <f>0.09+6344.3</f>
        <v>6344.39</v>
      </c>
      <c r="F71" s="5">
        <v>16333.1</v>
      </c>
      <c r="G71" s="5">
        <f t="shared" si="20"/>
        <v>300</v>
      </c>
      <c r="H71" s="5">
        <v>300</v>
      </c>
      <c r="I71" s="78">
        <v>5372.49</v>
      </c>
      <c r="J71" s="78">
        <v>5372.49</v>
      </c>
      <c r="K71" s="5">
        <f t="shared" si="16"/>
        <v>-971.9000000000005</v>
      </c>
      <c r="L71" s="5">
        <f t="shared" si="21"/>
        <v>5072.49</v>
      </c>
      <c r="M71" s="5">
        <f t="shared" si="22"/>
        <v>-10960.61</v>
      </c>
      <c r="N71" s="5">
        <f t="shared" si="17"/>
        <v>5072.49</v>
      </c>
      <c r="O71" s="12">
        <f t="shared" si="18"/>
        <v>0.846809543549498</v>
      </c>
      <c r="P71" s="12">
        <f t="shared" si="23"/>
        <v>17.9083</v>
      </c>
      <c r="Q71" s="12">
        <f t="shared" si="19"/>
        <v>0.328932658221648</v>
      </c>
    </row>
    <row r="72" spans="1:17" ht="31.5" hidden="1">
      <c r="A72" s="124"/>
      <c r="B72" s="124"/>
      <c r="C72" s="47" t="s">
        <v>135</v>
      </c>
      <c r="D72" s="27" t="s">
        <v>136</v>
      </c>
      <c r="E72" s="5"/>
      <c r="F72" s="5"/>
      <c r="G72" s="5">
        <f t="shared" si="20"/>
        <v>0</v>
      </c>
      <c r="H72" s="5"/>
      <c r="I72" s="78">
        <v>0</v>
      </c>
      <c r="J72" s="78">
        <v>0</v>
      </c>
      <c r="K72" s="5">
        <f t="shared" si="16"/>
        <v>0</v>
      </c>
      <c r="L72" s="5">
        <f t="shared" si="21"/>
        <v>0</v>
      </c>
      <c r="M72" s="5">
        <f t="shared" si="22"/>
        <v>0</v>
      </c>
      <c r="N72" s="5">
        <f t="shared" si="17"/>
        <v>0</v>
      </c>
      <c r="O72" s="12">
        <f t="shared" si="18"/>
      </c>
      <c r="P72" s="12">
        <f t="shared" si="23"/>
      </c>
      <c r="Q72" s="12">
        <f t="shared" si="19"/>
      </c>
    </row>
    <row r="73" spans="1:17" s="7" customFormat="1" ht="15.75">
      <c r="A73" s="118"/>
      <c r="B73" s="118"/>
      <c r="C73" s="92"/>
      <c r="D73" s="98" t="s">
        <v>96</v>
      </c>
      <c r="E73" s="55">
        <f>SUM(E65:E72)</f>
        <v>10158.560000000001</v>
      </c>
      <c r="F73" s="60">
        <f>SUM(F65:F72)</f>
        <v>110141.8</v>
      </c>
      <c r="G73" s="60">
        <f t="shared" si="20"/>
        <v>4014.7</v>
      </c>
      <c r="H73" s="60">
        <f>SUM(H65:H72)</f>
        <v>4014.7</v>
      </c>
      <c r="I73" s="60">
        <f>SUM(I65:I72)</f>
        <v>10782.41</v>
      </c>
      <c r="J73" s="60">
        <f>SUM(J65:J72)</f>
        <v>10782.41</v>
      </c>
      <c r="K73" s="60">
        <f t="shared" si="16"/>
        <v>623.8499999999985</v>
      </c>
      <c r="L73" s="60">
        <f t="shared" si="21"/>
        <v>6767.71</v>
      </c>
      <c r="M73" s="60">
        <f t="shared" si="22"/>
        <v>-99359.39</v>
      </c>
      <c r="N73" s="60">
        <f t="shared" si="17"/>
        <v>6767.71</v>
      </c>
      <c r="O73" s="57">
        <f t="shared" si="18"/>
        <v>1.0614112630136554</v>
      </c>
      <c r="P73" s="57">
        <f t="shared" si="23"/>
        <v>2.6857324333075945</v>
      </c>
      <c r="Q73" s="57">
        <f t="shared" si="19"/>
        <v>0.0978957126177346</v>
      </c>
    </row>
    <row r="74" spans="1:17" s="3" customFormat="1" ht="15.75">
      <c r="A74" s="110" t="s">
        <v>97</v>
      </c>
      <c r="B74" s="110"/>
      <c r="C74" s="110"/>
      <c r="D74" s="110"/>
      <c r="E74" s="28">
        <f>E5+E23</f>
        <v>1105627.7</v>
      </c>
      <c r="F74" s="82">
        <f>F5+F23</f>
        <v>25311787.700000007</v>
      </c>
      <c r="G74" s="82">
        <f t="shared" si="20"/>
        <v>368256.5</v>
      </c>
      <c r="H74" s="82">
        <f>H5+H23</f>
        <v>368256.5</v>
      </c>
      <c r="I74" s="82">
        <f>I5+I23</f>
        <v>777033.01</v>
      </c>
      <c r="J74" s="82">
        <f>J5+J23</f>
        <v>777033.01</v>
      </c>
      <c r="K74" s="82">
        <f t="shared" si="16"/>
        <v>-328594.68999999994</v>
      </c>
      <c r="L74" s="82">
        <f t="shared" si="21"/>
        <v>408776.51</v>
      </c>
      <c r="M74" s="82">
        <f t="shared" si="22"/>
        <v>-24534754.690000005</v>
      </c>
      <c r="N74" s="82">
        <f t="shared" si="17"/>
        <v>408776.51</v>
      </c>
      <c r="O74" s="29">
        <f t="shared" si="18"/>
        <v>0.7027980666548062</v>
      </c>
      <c r="P74" s="29">
        <f t="shared" si="23"/>
        <v>2.1100320293056605</v>
      </c>
      <c r="Q74" s="29">
        <f t="shared" si="19"/>
        <v>0.03069846425742579</v>
      </c>
    </row>
    <row r="75" spans="1:17" s="3" customFormat="1" ht="15.75" hidden="1">
      <c r="A75" s="120" t="s">
        <v>118</v>
      </c>
      <c r="B75" s="121"/>
      <c r="C75" s="121"/>
      <c r="D75" s="122"/>
      <c r="E75" s="28">
        <f>E74-E54-E52-E53</f>
        <v>827536.67</v>
      </c>
      <c r="F75" s="28">
        <f>F74-F54-F52-F53</f>
        <v>20909447.60000001</v>
      </c>
      <c r="G75" s="28">
        <f t="shared" si="20"/>
        <v>70200.7</v>
      </c>
      <c r="H75" s="28">
        <f>H74-H54-H52-H53</f>
        <v>70200.7</v>
      </c>
      <c r="I75" s="28">
        <v>110764.67</v>
      </c>
      <c r="J75" s="28">
        <v>110764.67</v>
      </c>
      <c r="K75" s="28">
        <f t="shared" si="16"/>
        <v>-716772</v>
      </c>
      <c r="L75" s="28">
        <f t="shared" si="21"/>
        <v>40563.97</v>
      </c>
      <c r="M75" s="28">
        <f t="shared" si="22"/>
        <v>-20798682.930000007</v>
      </c>
      <c r="N75" s="28">
        <f t="shared" si="17"/>
        <v>40563.97</v>
      </c>
      <c r="O75" s="29">
        <f t="shared" si="18"/>
        <v>0.1338486547067455</v>
      </c>
      <c r="P75" s="29">
        <f t="shared" si="23"/>
        <v>1.5778285686609963</v>
      </c>
      <c r="Q75" s="29">
        <f t="shared" si="19"/>
        <v>0.005297350370939495</v>
      </c>
    </row>
    <row r="76" spans="1:17" s="3" customFormat="1" ht="15.75">
      <c r="A76" s="111"/>
      <c r="B76" s="115"/>
      <c r="C76" s="87"/>
      <c r="D76" s="97" t="s">
        <v>98</v>
      </c>
      <c r="E76" s="103">
        <f>E86</f>
        <v>-547475.01</v>
      </c>
      <c r="F76" s="82">
        <f>F86</f>
        <v>22352525.499999996</v>
      </c>
      <c r="G76" s="82">
        <f t="shared" si="20"/>
        <v>858102.94</v>
      </c>
      <c r="H76" s="82">
        <f>H86</f>
        <v>858102.94</v>
      </c>
      <c r="I76" s="82">
        <f>I86</f>
        <v>595488.7199999999</v>
      </c>
      <c r="J76" s="82">
        <f>J86</f>
        <v>595488.7199999999</v>
      </c>
      <c r="K76" s="82">
        <f t="shared" si="16"/>
        <v>1142963.73</v>
      </c>
      <c r="L76" s="82">
        <f t="shared" si="21"/>
        <v>-262614.2200000001</v>
      </c>
      <c r="M76" s="82">
        <f t="shared" si="22"/>
        <v>-21757036.779999997</v>
      </c>
      <c r="N76" s="82">
        <f t="shared" si="17"/>
        <v>-262614.2200000001</v>
      </c>
      <c r="O76" s="29">
        <f t="shared" si="18"/>
        <v>-1.0877002769496271</v>
      </c>
      <c r="P76" s="29">
        <f t="shared" si="23"/>
        <v>0.6939595382344219</v>
      </c>
      <c r="Q76" s="29">
        <f t="shared" si="19"/>
        <v>0.026640780255457037</v>
      </c>
    </row>
    <row r="77" spans="1:17" s="13" customFormat="1" ht="31.5">
      <c r="A77" s="111"/>
      <c r="B77" s="115"/>
      <c r="C77" s="40" t="s">
        <v>140</v>
      </c>
      <c r="D77" s="30" t="s">
        <v>99</v>
      </c>
      <c r="E77" s="72">
        <v>79902.6</v>
      </c>
      <c r="F77" s="11">
        <v>384548</v>
      </c>
      <c r="G77" s="11">
        <f t="shared" si="20"/>
        <v>258324</v>
      </c>
      <c r="H77" s="11">
        <v>258324</v>
      </c>
      <c r="I77" s="25">
        <v>258324</v>
      </c>
      <c r="J77" s="25">
        <v>258324</v>
      </c>
      <c r="K77" s="5">
        <f>I77-E77</f>
        <v>178421.4</v>
      </c>
      <c r="L77" s="5">
        <f aca="true" t="shared" si="24" ref="L77:L82">I77-G77</f>
        <v>0</v>
      </c>
      <c r="M77" s="5">
        <f t="shared" si="22"/>
        <v>-126224</v>
      </c>
      <c r="N77" s="5">
        <f t="shared" si="17"/>
        <v>0</v>
      </c>
      <c r="O77" s="31">
        <f t="shared" si="18"/>
        <v>3.232986160650592</v>
      </c>
      <c r="P77" s="31">
        <f t="shared" si="23"/>
        <v>1</v>
      </c>
      <c r="Q77" s="31">
        <f t="shared" si="19"/>
        <v>0.6717600923681829</v>
      </c>
    </row>
    <row r="78" spans="1:17" ht="15.75">
      <c r="A78" s="111"/>
      <c r="B78" s="115"/>
      <c r="C78" s="40" t="s">
        <v>141</v>
      </c>
      <c r="D78" s="32" t="s">
        <v>100</v>
      </c>
      <c r="E78" s="72">
        <v>4131.3</v>
      </c>
      <c r="F78" s="11">
        <v>5309242.5</v>
      </c>
      <c r="G78" s="11">
        <f t="shared" si="20"/>
        <v>2420.2</v>
      </c>
      <c r="H78" s="25">
        <v>2420.2</v>
      </c>
      <c r="I78" s="25">
        <v>2420.2</v>
      </c>
      <c r="J78" s="25">
        <v>2420.2</v>
      </c>
      <c r="K78" s="5">
        <f>I78-E78</f>
        <v>-1711.1000000000004</v>
      </c>
      <c r="L78" s="5">
        <f>I78-G78</f>
        <v>0</v>
      </c>
      <c r="M78" s="5">
        <f>I78-F78</f>
        <v>-5306822.3</v>
      </c>
      <c r="N78" s="5">
        <f t="shared" si="17"/>
        <v>0</v>
      </c>
      <c r="O78" s="31">
        <f t="shared" si="18"/>
        <v>0.5858204439280613</v>
      </c>
      <c r="P78" s="31">
        <f t="shared" si="23"/>
        <v>1</v>
      </c>
      <c r="Q78" s="31">
        <f t="shared" si="19"/>
        <v>0.00045584657321642397</v>
      </c>
    </row>
    <row r="79" spans="1:17" ht="15.75">
      <c r="A79" s="111"/>
      <c r="B79" s="115"/>
      <c r="C79" s="40" t="s">
        <v>142</v>
      </c>
      <c r="D79" s="32" t="s">
        <v>101</v>
      </c>
      <c r="E79" s="72">
        <v>290308.75999999995</v>
      </c>
      <c r="F79" s="11">
        <v>11808776.699999997</v>
      </c>
      <c r="G79" s="11">
        <f t="shared" si="20"/>
        <v>597358.7399999999</v>
      </c>
      <c r="H79" s="25">
        <v>597358.7399999999</v>
      </c>
      <c r="I79" s="25">
        <v>597358.7399999999</v>
      </c>
      <c r="J79" s="25">
        <v>597358.7399999999</v>
      </c>
      <c r="K79" s="5">
        <f t="shared" si="16"/>
        <v>307049.9799999999</v>
      </c>
      <c r="L79" s="5">
        <f t="shared" si="24"/>
        <v>0</v>
      </c>
      <c r="M79" s="5">
        <f t="shared" si="22"/>
        <v>-11211417.959999997</v>
      </c>
      <c r="N79" s="5">
        <f t="shared" si="17"/>
        <v>0</v>
      </c>
      <c r="O79" s="31">
        <f t="shared" si="18"/>
        <v>2.057666947425217</v>
      </c>
      <c r="P79" s="31">
        <f t="shared" si="23"/>
        <v>1</v>
      </c>
      <c r="Q79" s="31">
        <f t="shared" si="19"/>
        <v>0.05058599676967387</v>
      </c>
    </row>
    <row r="80" spans="1:17" ht="15.75">
      <c r="A80" s="111"/>
      <c r="B80" s="115"/>
      <c r="C80" s="40" t="s">
        <v>143</v>
      </c>
      <c r="D80" s="14" t="s">
        <v>102</v>
      </c>
      <c r="E80" s="72"/>
      <c r="F80" s="11">
        <v>4849958.3</v>
      </c>
      <c r="G80" s="11">
        <f t="shared" si="20"/>
        <v>0</v>
      </c>
      <c r="H80" s="11"/>
      <c r="I80" s="78">
        <v>0</v>
      </c>
      <c r="J80" s="78">
        <v>0</v>
      </c>
      <c r="K80" s="5">
        <f>I80-E80</f>
        <v>0</v>
      </c>
      <c r="L80" s="5">
        <f t="shared" si="24"/>
        <v>0</v>
      </c>
      <c r="M80" s="5">
        <f t="shared" si="22"/>
        <v>-4849958.3</v>
      </c>
      <c r="N80" s="5">
        <f t="shared" si="17"/>
        <v>0</v>
      </c>
      <c r="O80" s="31">
        <f t="shared" si="18"/>
      </c>
      <c r="P80" s="31">
        <f t="shared" si="23"/>
      </c>
      <c r="Q80" s="31">
        <f t="shared" si="19"/>
        <v>0</v>
      </c>
    </row>
    <row r="81" spans="1:17" ht="31.5" hidden="1">
      <c r="A81" s="112"/>
      <c r="B81" s="116"/>
      <c r="C81" s="40" t="s">
        <v>139</v>
      </c>
      <c r="D81" s="14" t="s">
        <v>138</v>
      </c>
      <c r="E81" s="72"/>
      <c r="F81" s="11"/>
      <c r="G81" s="11">
        <f t="shared" si="20"/>
        <v>0</v>
      </c>
      <c r="H81" s="11"/>
      <c r="I81" s="78">
        <v>0</v>
      </c>
      <c r="J81" s="78">
        <v>0</v>
      </c>
      <c r="K81" s="5">
        <f>I81-E81</f>
        <v>0</v>
      </c>
      <c r="L81" s="5">
        <f t="shared" si="24"/>
        <v>0</v>
      </c>
      <c r="M81" s="5">
        <f t="shared" si="22"/>
        <v>0</v>
      </c>
      <c r="N81" s="5">
        <f t="shared" si="17"/>
        <v>0</v>
      </c>
      <c r="O81" s="31">
        <f t="shared" si="18"/>
      </c>
      <c r="P81" s="31">
        <f t="shared" si="23"/>
      </c>
      <c r="Q81" s="31">
        <f t="shared" si="19"/>
      </c>
    </row>
    <row r="82" spans="1:17" ht="25.5" customHeight="1">
      <c r="A82" s="111"/>
      <c r="B82" s="115"/>
      <c r="C82" s="40" t="s">
        <v>103</v>
      </c>
      <c r="D82" s="66" t="s">
        <v>104</v>
      </c>
      <c r="E82" s="72">
        <v>692.71</v>
      </c>
      <c r="F82" s="11"/>
      <c r="G82" s="11">
        <f t="shared" si="20"/>
        <v>0</v>
      </c>
      <c r="H82" s="11"/>
      <c r="I82" s="78">
        <v>0</v>
      </c>
      <c r="J82" s="78">
        <v>0</v>
      </c>
      <c r="K82" s="5">
        <f>I82-E82</f>
        <v>-692.71</v>
      </c>
      <c r="L82" s="5">
        <f t="shared" si="24"/>
        <v>0</v>
      </c>
      <c r="M82" s="5">
        <f>I82-F82</f>
        <v>0</v>
      </c>
      <c r="N82" s="5">
        <f t="shared" si="17"/>
        <v>0</v>
      </c>
      <c r="O82" s="31">
        <f t="shared" si="18"/>
        <v>0</v>
      </c>
      <c r="P82" s="31">
        <f t="shared" si="23"/>
      </c>
      <c r="Q82" s="31">
        <f t="shared" si="19"/>
      </c>
    </row>
    <row r="83" spans="1:17" ht="78.75" hidden="1">
      <c r="A83" s="113"/>
      <c r="B83" s="117"/>
      <c r="C83" s="65" t="s">
        <v>151</v>
      </c>
      <c r="D83" s="66" t="s">
        <v>152</v>
      </c>
      <c r="E83" s="72"/>
      <c r="F83" s="74"/>
      <c r="G83" s="74">
        <f t="shared" si="20"/>
        <v>0</v>
      </c>
      <c r="H83" s="74"/>
      <c r="I83" s="78">
        <v>0</v>
      </c>
      <c r="J83" s="78">
        <v>0</v>
      </c>
      <c r="K83" s="5">
        <f>I83-E83</f>
        <v>0</v>
      </c>
      <c r="L83" s="5">
        <f>I83-G83</f>
        <v>0</v>
      </c>
      <c r="M83" s="5">
        <f>I83-F83</f>
        <v>0</v>
      </c>
      <c r="N83" s="5">
        <f t="shared" si="17"/>
        <v>0</v>
      </c>
      <c r="O83" s="31">
        <f t="shared" si="18"/>
      </c>
      <c r="P83" s="31">
        <f t="shared" si="23"/>
      </c>
      <c r="Q83" s="31">
        <f t="shared" si="19"/>
      </c>
    </row>
    <row r="84" spans="1:17" ht="31.5">
      <c r="A84" s="111"/>
      <c r="B84" s="115"/>
      <c r="C84" s="40" t="s">
        <v>105</v>
      </c>
      <c r="D84" s="10" t="s">
        <v>106</v>
      </c>
      <c r="E84" s="72">
        <v>308650.93</v>
      </c>
      <c r="F84" s="11"/>
      <c r="G84" s="11">
        <f t="shared" si="20"/>
        <v>0</v>
      </c>
      <c r="H84" s="11"/>
      <c r="I84" s="78">
        <v>414918.71</v>
      </c>
      <c r="J84" s="78">
        <v>414918.71</v>
      </c>
      <c r="K84" s="5">
        <f t="shared" si="16"/>
        <v>106267.78000000003</v>
      </c>
      <c r="L84" s="5">
        <f t="shared" si="21"/>
        <v>414918.71</v>
      </c>
      <c r="M84" s="5">
        <f t="shared" si="22"/>
        <v>414918.71</v>
      </c>
      <c r="N84" s="5">
        <f t="shared" si="17"/>
        <v>414918.71</v>
      </c>
      <c r="O84" s="31">
        <f t="shared" si="18"/>
        <v>1.3442976180243489</v>
      </c>
      <c r="P84" s="31">
        <f t="shared" si="23"/>
      </c>
      <c r="Q84" s="31">
        <f t="shared" si="19"/>
      </c>
    </row>
    <row r="85" spans="1:17" ht="15.75">
      <c r="A85" s="111"/>
      <c r="B85" s="115"/>
      <c r="C85" s="40" t="s">
        <v>107</v>
      </c>
      <c r="D85" s="10" t="s">
        <v>108</v>
      </c>
      <c r="E85" s="72">
        <v>-1231161.31</v>
      </c>
      <c r="F85" s="11"/>
      <c r="G85" s="11">
        <f t="shared" si="20"/>
        <v>0</v>
      </c>
      <c r="H85" s="11"/>
      <c r="I85" s="78">
        <v>-677532.93</v>
      </c>
      <c r="J85" s="78">
        <v>-677532.93</v>
      </c>
      <c r="K85" s="5">
        <f t="shared" si="16"/>
        <v>553628.38</v>
      </c>
      <c r="L85" s="5">
        <f t="shared" si="21"/>
        <v>-677532.93</v>
      </c>
      <c r="M85" s="5">
        <f t="shared" si="22"/>
        <v>-677532.93</v>
      </c>
      <c r="N85" s="5">
        <f t="shared" si="17"/>
        <v>-677532.93</v>
      </c>
      <c r="O85" s="31">
        <f t="shared" si="18"/>
        <v>0.5503201932165981</v>
      </c>
      <c r="P85" s="31">
        <f t="shared" si="23"/>
      </c>
      <c r="Q85" s="31">
        <f t="shared" si="19"/>
      </c>
    </row>
    <row r="86" spans="1:17" s="7" customFormat="1" ht="15.75">
      <c r="A86" s="114"/>
      <c r="B86" s="118"/>
      <c r="C86" s="42"/>
      <c r="D86" s="98" t="s">
        <v>116</v>
      </c>
      <c r="E86" s="94">
        <f>SUM(E77:E85)</f>
        <v>-547475.01</v>
      </c>
      <c r="F86" s="54">
        <f>SUM(F77:F85)</f>
        <v>22352525.499999996</v>
      </c>
      <c r="G86" s="54">
        <f t="shared" si="20"/>
        <v>858102.94</v>
      </c>
      <c r="H86" s="54">
        <f>SUM(H77:H85)</f>
        <v>858102.94</v>
      </c>
      <c r="I86" s="54">
        <f>SUM(I77:I85)</f>
        <v>595488.7199999999</v>
      </c>
      <c r="J86" s="54">
        <f>SUM(J77:J85)</f>
        <v>595488.7199999999</v>
      </c>
      <c r="K86" s="54">
        <f t="shared" si="16"/>
        <v>1142963.73</v>
      </c>
      <c r="L86" s="54">
        <f t="shared" si="21"/>
        <v>-262614.2200000001</v>
      </c>
      <c r="M86" s="59">
        <f t="shared" si="22"/>
        <v>-21757036.779999997</v>
      </c>
      <c r="N86" s="59">
        <f t="shared" si="17"/>
        <v>-262614.2200000001</v>
      </c>
      <c r="O86" s="61">
        <f t="shared" si="18"/>
        <v>-1.0877002769496271</v>
      </c>
      <c r="P86" s="31">
        <f t="shared" si="23"/>
        <v>0.6939595382344219</v>
      </c>
      <c r="Q86" s="31">
        <f t="shared" si="19"/>
        <v>0.026640780255457037</v>
      </c>
    </row>
    <row r="87" spans="1:17" s="3" customFormat="1" ht="15.75">
      <c r="A87" s="119" t="s">
        <v>109</v>
      </c>
      <c r="B87" s="119"/>
      <c r="C87" s="119"/>
      <c r="D87" s="119"/>
      <c r="E87" s="83">
        <f>E74+E76</f>
        <v>558152.69</v>
      </c>
      <c r="F87" s="83">
        <f>F74+F76</f>
        <v>47664313.2</v>
      </c>
      <c r="G87" s="83">
        <f t="shared" si="20"/>
        <v>1226359.44</v>
      </c>
      <c r="H87" s="83">
        <f>H74+H76</f>
        <v>1226359.44</v>
      </c>
      <c r="I87" s="83">
        <f>I74+I76</f>
        <v>1372521.73</v>
      </c>
      <c r="J87" s="83">
        <f>J74+J76</f>
        <v>1372521.73</v>
      </c>
      <c r="K87" s="83">
        <f t="shared" si="16"/>
        <v>814369.04</v>
      </c>
      <c r="L87" s="83">
        <f t="shared" si="21"/>
        <v>146162.29000000004</v>
      </c>
      <c r="M87" s="83">
        <f t="shared" si="22"/>
        <v>-46291791.470000006</v>
      </c>
      <c r="N87" s="83">
        <f t="shared" si="17"/>
        <v>146162.29000000004</v>
      </c>
      <c r="O87" s="29">
        <f t="shared" si="18"/>
        <v>2.459043474286579</v>
      </c>
      <c r="P87" s="29">
        <f t="shared" si="23"/>
        <v>1.1191838911436929</v>
      </c>
      <c r="Q87" s="29">
        <f t="shared" si="19"/>
        <v>0.028795583904479713</v>
      </c>
    </row>
    <row r="88" spans="1:17" s="13" customFormat="1" ht="15.75" hidden="1">
      <c r="A88" s="109" t="s">
        <v>118</v>
      </c>
      <c r="B88" s="109"/>
      <c r="C88" s="109"/>
      <c r="D88" s="109"/>
      <c r="E88" s="84">
        <f>E87-E54-E53-E52</f>
        <v>280061.66</v>
      </c>
      <c r="F88" s="83">
        <f>F87-F54-F53-F52</f>
        <v>43261973.1</v>
      </c>
      <c r="G88" s="83">
        <f t="shared" si="20"/>
        <v>928303.6399999999</v>
      </c>
      <c r="H88" s="83">
        <f>H87-H54-H53-H52</f>
        <v>928303.6399999999</v>
      </c>
      <c r="I88" s="83">
        <f>I87-I54-I53-I52</f>
        <v>1076937.9500000002</v>
      </c>
      <c r="J88" s="83">
        <f>J87-J54-J53-J52</f>
        <v>1076937.9500000002</v>
      </c>
      <c r="K88" s="83">
        <f t="shared" si="16"/>
        <v>796876.2900000003</v>
      </c>
      <c r="L88" s="83">
        <f t="shared" si="21"/>
        <v>148634.3100000003</v>
      </c>
      <c r="M88" s="83">
        <f t="shared" si="22"/>
        <v>-42185035.15</v>
      </c>
      <c r="N88" s="83">
        <f>I88-H88</f>
        <v>148634.3100000003</v>
      </c>
      <c r="O88" s="29">
        <f>I88/E88</f>
        <v>3.8453601610445367</v>
      </c>
      <c r="P88" s="31">
        <f t="shared" si="23"/>
        <v>1.1601138933377448</v>
      </c>
      <c r="Q88" s="31">
        <f t="shared" si="19"/>
        <v>0.024893408063258217</v>
      </c>
    </row>
    <row r="89" spans="1:14" ht="15.75">
      <c r="A89" s="33" t="s">
        <v>110</v>
      </c>
      <c r="B89" s="34"/>
      <c r="D89" s="35"/>
      <c r="E89" s="49"/>
      <c r="F89" s="36"/>
      <c r="G89" s="36"/>
      <c r="H89" s="36"/>
      <c r="I89" s="36"/>
      <c r="J89" s="36"/>
      <c r="K89" s="36"/>
      <c r="L89" s="36"/>
      <c r="M89" s="36"/>
      <c r="N89" s="36"/>
    </row>
    <row r="90" ht="12.75">
      <c r="K90" s="67"/>
    </row>
    <row r="97" ht="12.75">
      <c r="E97" s="50" t="s">
        <v>115</v>
      </c>
    </row>
  </sheetData>
  <sheetProtection/>
  <mergeCells count="42">
    <mergeCell ref="A1:Q1"/>
    <mergeCell ref="A3:A4"/>
    <mergeCell ref="B3:B4"/>
    <mergeCell ref="C3:C4"/>
    <mergeCell ref="D3:D4"/>
    <mergeCell ref="E3:E4"/>
    <mergeCell ref="F3:H3"/>
    <mergeCell ref="I3:J3"/>
    <mergeCell ref="K3:N3"/>
    <mergeCell ref="O3:O4"/>
    <mergeCell ref="P3:P4"/>
    <mergeCell ref="Q3:Q4"/>
    <mergeCell ref="A6:A7"/>
    <mergeCell ref="B6:B7"/>
    <mergeCell ref="A8:A18"/>
    <mergeCell ref="A23:C23"/>
    <mergeCell ref="A24:A27"/>
    <mergeCell ref="B24:B27"/>
    <mergeCell ref="A28:A30"/>
    <mergeCell ref="B28:B30"/>
    <mergeCell ref="A31:A38"/>
    <mergeCell ref="B31:B38"/>
    <mergeCell ref="A39:A48"/>
    <mergeCell ref="B39:B48"/>
    <mergeCell ref="A49:A50"/>
    <mergeCell ref="B49:B50"/>
    <mergeCell ref="A51:A56"/>
    <mergeCell ref="B51:B56"/>
    <mergeCell ref="A57:A60"/>
    <mergeCell ref="B57:B60"/>
    <mergeCell ref="A61:A62"/>
    <mergeCell ref="B61:B62"/>
    <mergeCell ref="A63:A64"/>
    <mergeCell ref="B63:B64"/>
    <mergeCell ref="A65:A73"/>
    <mergeCell ref="B65:B73"/>
    <mergeCell ref="A88:D88"/>
    <mergeCell ref="A74:D74"/>
    <mergeCell ref="A76:A86"/>
    <mergeCell ref="B76:B86"/>
    <mergeCell ref="A87:D87"/>
    <mergeCell ref="A75:D75"/>
  </mergeCells>
  <printOptions horizontalCentered="1" verticalCentered="1"/>
  <pageMargins left="0" right="0" top="0.3937007874015748" bottom="0" header="0.1968503937007874" footer="0.15748031496062992"/>
  <pageSetup fitToHeight="2" horizontalDpi="600" verticalDpi="600" orientation="landscape" paperSize="9" scale="54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Котельникова Виктория Ивановна</cp:lastModifiedBy>
  <cp:lastPrinted>2023-01-23T03:36:32Z</cp:lastPrinted>
  <dcterms:created xsi:type="dcterms:W3CDTF">2015-02-26T11:08:47Z</dcterms:created>
  <dcterms:modified xsi:type="dcterms:W3CDTF">2023-01-30T05:10:52Z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