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30" activeTab="0"/>
  </bookViews>
  <sheets>
    <sheet name="на 07.03.2023" sheetId="1" r:id="rId1"/>
  </sheets>
  <definedNames>
    <definedName name="_xlfn.IFERROR" hidden="1">#NAME?</definedName>
    <definedName name="_xlnm._FilterDatabase" localSheetId="0" hidden="1">'на 07.03.2023'!$A$4:$Q$79</definedName>
    <definedName name="XDO_?AMOUNT?">#REF!</definedName>
    <definedName name="XDO_?BANK_ACC_NUM?">#REF!</definedName>
    <definedName name="XDO_?BANK_ACCOUNT_NUM_OPO?">#REF!</definedName>
    <definedName name="XDO_?BCC_CODE?">#REF!</definedName>
    <definedName name="XDO_?BUDGET_NAME?">#REF!</definedName>
    <definedName name="XDO_?CHIEF_DEP_NAME?">#REF!</definedName>
    <definedName name="XDO_?CHIEF_DEP_POST?">#REF!</definedName>
    <definedName name="XDO_?CHIEF_NAME?">#REF!</definedName>
    <definedName name="XDO_?CHIEF_POST?">#REF!</definedName>
    <definedName name="XDO_?CLERK_NAME?">#REF!</definedName>
    <definedName name="XDO_?CLERK_PHONE?">#REF!</definedName>
    <definedName name="XDO_?CLERK_POST?">#REF!</definedName>
    <definedName name="XDO_?DOC_REG_NUMBER?">#REF!</definedName>
    <definedName name="XDO_?OKATO?">#REF!</definedName>
    <definedName name="XDO_?OKPO?">#REF!</definedName>
    <definedName name="XDO_?PP_DATE?">#REF!</definedName>
    <definedName name="XDO_?PP_NUM?">#REF!</definedName>
    <definedName name="XDO_?RECEIVER_INN?">#REF!</definedName>
    <definedName name="XDO_?RECEIVER_KPP?">#REF!</definedName>
    <definedName name="XDO_?RECEIVER_TOFK_NAME?">#REF!</definedName>
    <definedName name="XDO_?REPORT_DATE?">#REF!</definedName>
    <definedName name="XDO_?REPORT_DATE_1?">#REF!</definedName>
    <definedName name="XDO_?REPORT_DATE_2?">#REF!</definedName>
    <definedName name="XDO_?SUBS_CODE?">#REF!</definedName>
    <definedName name="XDO_?TOFK_CODE?">#REF!</definedName>
    <definedName name="XDO_?TOFK_CODE_OP?">#REF!</definedName>
    <definedName name="XDO_?TOFK_NAME?">#REF!</definedName>
    <definedName name="XDO_?TOFK_NAME_OP?">#REF!</definedName>
    <definedName name="XDO_?TOFK_NAME2?">#REF!</definedName>
    <definedName name="XDO_?TOT_AMOUNT?">#REF!</definedName>
    <definedName name="XDO_?USER_DEPARTMENT?">#REF!</definedName>
    <definedName name="XDO_?USER_DEPARTMENT2?">#REF!</definedName>
    <definedName name="XDO_GROUP_?LINE?">#REF!</definedName>
    <definedName name="_xlnm.Print_Titles" localSheetId="0">'на 07.03.2023'!$3:$4</definedName>
    <definedName name="о">#REF!</definedName>
    <definedName name="_xlnm.Print_Area" localSheetId="0">'на 07.03.2023'!$A$1:$Q$78</definedName>
    <definedName name="оля">#REF!</definedName>
  </definedNames>
  <calcPr fullCalcOnLoad="1"/>
</workbook>
</file>

<file path=xl/sharedStrings.xml><?xml version="1.0" encoding="utf-8"?>
<sst xmlns="http://schemas.openxmlformats.org/spreadsheetml/2006/main" count="189" uniqueCount="159">
  <si>
    <t>тыс. руб.</t>
  </si>
  <si>
    <t>Код адм.</t>
  </si>
  <si>
    <t xml:space="preserve">Администраторы, кураторы доходов    </t>
  </si>
  <si>
    <t>Код вида доходов</t>
  </si>
  <si>
    <t>Вид дохода</t>
  </si>
  <si>
    <t xml:space="preserve">ОТКЛОНЕНИЕ </t>
  </si>
  <si>
    <t>факта отч.пер. от плана отч.пер.</t>
  </si>
  <si>
    <t>НАЛОГОВЫЕ ДОХОДЫ</t>
  </si>
  <si>
    <t>УВБ</t>
  </si>
  <si>
    <t>1 03 02000 01 0000 110</t>
  </si>
  <si>
    <t>Акцизы по подакцизным товарам</t>
  </si>
  <si>
    <t>ИТОГО ПО АДМИНИСТРАТОРУ</t>
  </si>
  <si>
    <t>182</t>
  </si>
  <si>
    <t>ДЭиП</t>
  </si>
  <si>
    <t>1 01 02000 01 0000 110</t>
  </si>
  <si>
    <t>НДФЛ</t>
  </si>
  <si>
    <t>1 05 02000 02 0000 110</t>
  </si>
  <si>
    <t>ЕНВД</t>
  </si>
  <si>
    <t>1 05 03000 01 0000 110</t>
  </si>
  <si>
    <t>Единый сельскохозяйственный налог</t>
  </si>
  <si>
    <t>1 05 04000 01 0000 110</t>
  </si>
  <si>
    <t>ДЗО</t>
  </si>
  <si>
    <t>1 06 01020 04 0000 110</t>
  </si>
  <si>
    <t>Налог на имущество физических лиц</t>
  </si>
  <si>
    <t>1 06 06000 00 0000 110</t>
  </si>
  <si>
    <t xml:space="preserve">Земельный налог </t>
  </si>
  <si>
    <t>ДОБ</t>
  </si>
  <si>
    <t>1 08 03010 01 0000 110</t>
  </si>
  <si>
    <t>Государственная пошлина (мировые судьи)</t>
  </si>
  <si>
    <t>1 09 00000 00 0000 000</t>
  </si>
  <si>
    <t>Задолженность по отмененным налогам</t>
  </si>
  <si>
    <t>318</t>
  </si>
  <si>
    <t>ДФ</t>
  </si>
  <si>
    <t xml:space="preserve"> 1 08 07110-120 01 0000 110, 1 08 02020 01 0000 110</t>
  </si>
  <si>
    <t>1 08 07130 01 0000 110</t>
  </si>
  <si>
    <t>Госпошлина за регистрацию СМИ</t>
  </si>
  <si>
    <t>951</t>
  </si>
  <si>
    <t>1 08 07150 01 0000 110</t>
  </si>
  <si>
    <t>944</t>
  </si>
  <si>
    <t>1 08 07173 01 0000 110</t>
  </si>
  <si>
    <t>Госпошлина за выдачу спец. разрешения (опасн., тяжеловесн., крупногабар. груз)</t>
  </si>
  <si>
    <t>НЕНАЛОГОВЫЕ ДОХОДЫ</t>
  </si>
  <si>
    <t>1 11 07014 04 0000 120</t>
  </si>
  <si>
    <t>Доходы от перечисления части прибыли МУП</t>
  </si>
  <si>
    <t>1 11 09044 04 0000 120</t>
  </si>
  <si>
    <t>Плата по договорам на размещение рекламных конструкций</t>
  </si>
  <si>
    <t>1 17 05040 04 0000 180</t>
  </si>
  <si>
    <t>Плата за размещение НТО</t>
  </si>
  <si>
    <t>163</t>
  </si>
  <si>
    <t>ДИО</t>
  </si>
  <si>
    <t>1 11 01040 04 0000 120</t>
  </si>
  <si>
    <t>Дивиденды по акциям</t>
  </si>
  <si>
    <t>1 11 05074 04 0000 120</t>
  </si>
  <si>
    <t>Доходы от сдачи в аренду имущества казны</t>
  </si>
  <si>
    <t>Прочие поступления от использования имущества</t>
  </si>
  <si>
    <t>1 14 02043 04 0000 410</t>
  </si>
  <si>
    <t xml:space="preserve">Доходы  от реализации мун. имущества, в т.ч.: </t>
  </si>
  <si>
    <t xml:space="preserve">178-ФЗ </t>
  </si>
  <si>
    <t>НДС по 178-ФЗ</t>
  </si>
  <si>
    <t>159-ФЗ</t>
  </si>
  <si>
    <t>Прочие неналоговые поступления</t>
  </si>
  <si>
    <t>Арендная плата за земельные участки, гос. собственность на которые не разграничена</t>
  </si>
  <si>
    <t xml:space="preserve">Средства от продажи права на заключение договоров аренды </t>
  </si>
  <si>
    <t xml:space="preserve">Арендная плата за земельные участки, находящиеся в собственности городских округов </t>
  </si>
  <si>
    <t>1 14 06012 04 0000 430</t>
  </si>
  <si>
    <t xml:space="preserve">Доходы от продажи земельных участков, государственная собственность на которые не разграничена </t>
  </si>
  <si>
    <t>1 14 06312 04 0000 430</t>
  </si>
  <si>
    <t xml:space="preserve">Плата за увеличение площади земельных участков в результате перераспределения </t>
  </si>
  <si>
    <t>940</t>
  </si>
  <si>
    <t>МУ ДЖКХ</t>
  </si>
  <si>
    <t>Доходы от оказания платных услуг и компенсации затрат государства</t>
  </si>
  <si>
    <t>945</t>
  </si>
  <si>
    <t>1 11 05092 04 0000 120</t>
  </si>
  <si>
    <t>1 16 00000 00 0000 000</t>
  </si>
  <si>
    <t>Штрафы, санкции, возмещение ущерба</t>
  </si>
  <si>
    <t>УЖО</t>
  </si>
  <si>
    <t>Плата за найм</t>
  </si>
  <si>
    <t>1 14 01040 04 0000 410</t>
  </si>
  <si>
    <t>Доходы от продажи квартир</t>
  </si>
  <si>
    <t>915, 048</t>
  </si>
  <si>
    <t>Уэкол.</t>
  </si>
  <si>
    <t>1 12 00000 00 0000 120</t>
  </si>
  <si>
    <t>Платежи при пользовании природными ресурсами</t>
  </si>
  <si>
    <t>Иные администр.</t>
  </si>
  <si>
    <t>Доходы от сдачи в аренду объектов нежилого фонда</t>
  </si>
  <si>
    <t>1 17 01040 04 0000 180</t>
  </si>
  <si>
    <t>Невыясненные поступления</t>
  </si>
  <si>
    <t>ИТОГО ПО ИНЫМ АДМИНИСТРАТОРАМ</t>
  </si>
  <si>
    <t xml:space="preserve">ИТОГО НАЛОГОВЫХ И НЕНАЛОГОВЫХ ДОХОДОВ 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</si>
  <si>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</si>
  <si>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</si>
  <si>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Субсидии от других бюджетов бюджетной системы РФ   *)      </t>
  </si>
  <si>
    <t xml:space="preserve">Субвенции от других бюджетов бюджетной системы РФ *)    </t>
  </si>
  <si>
    <t>Иные межбюджетные трансферты  *)</t>
  </si>
  <si>
    <t>2 07 04050 04 0000 150</t>
  </si>
  <si>
    <t>Прочие безвозмездные поступления в бюджеты городских округов</t>
  </si>
  <si>
    <t>2 18 04000 00 0000 000</t>
  </si>
  <si>
    <t>Доходы бюджетов городских округов от возврата бюджетными и автономными учреждениями остатков субсидий прошлых лет</t>
  </si>
  <si>
    <t>2 19 04000 00 0000 000</t>
  </si>
  <si>
    <t>Возврат остатков субсидий, субвенций прошлых лет</t>
  </si>
  <si>
    <t xml:space="preserve">ВСЕГО ДОХОДОВ </t>
  </si>
  <si>
    <t xml:space="preserve">*)   Примечание: уточненный план по субвенциям, субсидиям и иным межбюджетным трансфертам на текущую дату </t>
  </si>
  <si>
    <t>096</t>
  </si>
  <si>
    <t>992</t>
  </si>
  <si>
    <t>ДДиБ</t>
  </si>
  <si>
    <t>ДТ</t>
  </si>
  <si>
    <t>Госпошлина за выдачу разрешения на установку РК</t>
  </si>
  <si>
    <t>1 11 05000 04 0000 120</t>
  </si>
  <si>
    <t>1 11 05300 00 0000 120</t>
  </si>
  <si>
    <t>Плата по соглашениям об установлении сервитута в отношении земельных участков</t>
  </si>
  <si>
    <t>Доходы от компенсации затрат государства (епд)</t>
  </si>
  <si>
    <t>Доходы от компенсации затрат государства (плата за проезд)</t>
  </si>
  <si>
    <t>Доходы от компенсации затрат государства (транспортные карты)</t>
  </si>
  <si>
    <t>1 13 02000 04 0010 130</t>
  </si>
  <si>
    <t>1 13 02000 04 0015 130</t>
  </si>
  <si>
    <t>1 13 02000 04 0020 130</t>
  </si>
  <si>
    <t>1 13 00000 04 0000 130</t>
  </si>
  <si>
    <t>1 17 05040 04 2000 180</t>
  </si>
  <si>
    <t>1 17 05040 04 1000 180</t>
  </si>
  <si>
    <t>1 14 02 04 3 04 3 000 410</t>
  </si>
  <si>
    <t>1 14 02 04 3 04 1 000 410</t>
  </si>
  <si>
    <t>1 14 02 04 3 04 2 000 410</t>
  </si>
  <si>
    <t>Плата за публичный сервитут</t>
  </si>
  <si>
    <t>1 11 05410 04 1000 120</t>
  </si>
  <si>
    <t>Прочие безвозмездные поступления от государственных (муниципальных) организаций в бюджеты городских округов</t>
  </si>
  <si>
    <t>2 03 04099 04 0 000 150</t>
  </si>
  <si>
    <t>2 02 10000 00 0000 000</t>
  </si>
  <si>
    <t>2 02 20000 00 0000 000</t>
  </si>
  <si>
    <t>2 02 30000 00 0000 000</t>
  </si>
  <si>
    <t>2 02 40000 00 0000 000</t>
  </si>
  <si>
    <t>1 11 05012 04 1020 120</t>
  </si>
  <si>
    <t>1 13 02994 04 0030 130</t>
  </si>
  <si>
    <t>1 11 05012 04 1000 120</t>
  </si>
  <si>
    <t xml:space="preserve">год </t>
  </si>
  <si>
    <t>Доходы от компенсации затрат государства (лпд )</t>
  </si>
  <si>
    <t>1 11 05024 04 1000 120</t>
  </si>
  <si>
    <t xml:space="preserve">ПЛАН на 2023 год </t>
  </si>
  <si>
    <r>
      <t>Оперативный анализ  поступления доходов бюджета города Перми в 2023 году</t>
    </r>
    <r>
      <rPr>
        <b/>
        <sz val="16"/>
        <rFont val="Times New Roman"/>
        <family val="1"/>
      </rPr>
      <t xml:space="preserve"> </t>
    </r>
  </si>
  <si>
    <t>ФАКТ 2023 года</t>
  </si>
  <si>
    <t>факта 2023 года от факта 2022 года</t>
  </si>
  <si>
    <t>факта 2023 года от плана 2023 года</t>
  </si>
  <si>
    <t>УСН</t>
  </si>
  <si>
    <t>1 05 01000 01 0000 110</t>
  </si>
  <si>
    <t>Госпошлина за гос. регистрацию общ. объединений.</t>
  </si>
  <si>
    <t>Налог, взимаемый в связи с применением патентной системы н/о</t>
  </si>
  <si>
    <t>Доходы от предоставления на платной основе парковок</t>
  </si>
  <si>
    <t xml:space="preserve">Плата по соглашениям об установлении сервитута </t>
  </si>
  <si>
    <t xml:space="preserve">Транспортный налог </t>
  </si>
  <si>
    <t>1 06 04000 00 0000 110</t>
  </si>
  <si>
    <t>Инициативные платежи</t>
  </si>
  <si>
    <t>1 17 15020 04 0000 180</t>
  </si>
  <si>
    <t>Исполн. плана отч. периода</t>
  </si>
  <si>
    <t>Исполн. плана года</t>
  </si>
  <si>
    <t>Факт 2023г./ факт 2022г.</t>
  </si>
  <si>
    <t>Факт с нач. 2022 года      (по 03.03.22 вкл.)</t>
  </si>
  <si>
    <t>январь-март</t>
  </si>
  <si>
    <t>март</t>
  </si>
  <si>
    <t>факта за март от плана марта</t>
  </si>
  <si>
    <t>с нач. года на 06.03.2023 (по 03.03. вкл.)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</si>
</sst>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_р_."/>
    <numFmt numFmtId="167" formatCode="#,##0.000"/>
    <numFmt numFmtId="168" formatCode="0.000"/>
  </numFmts>
  <fonts count="44">
    <font>
      <sz val="10"/>
      <name val="Arial Cyr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 Cyr"/>
      <family val="0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166" fontId="3" fillId="0" borderId="11" xfId="0" applyNumberFormat="1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left" wrapText="1"/>
    </xf>
    <xf numFmtId="164" fontId="6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vertical="top" wrapText="1"/>
    </xf>
    <xf numFmtId="166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9" fontId="0" fillId="0" borderId="0" xfId="135" applyFont="1" applyFill="1" applyBorder="1" applyAlignment="1" applyProtection="1">
      <alignment/>
      <protection/>
    </xf>
    <xf numFmtId="0" fontId="3" fillId="0" borderId="0" xfId="0" applyFont="1" applyFill="1" applyAlignment="1">
      <alignment horizontal="right"/>
    </xf>
    <xf numFmtId="4" fontId="5" fillId="0" borderId="12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164" fontId="6" fillId="0" borderId="11" xfId="0" applyNumberFormat="1" applyFont="1" applyFill="1" applyBorder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164" fontId="5" fillId="0" borderId="12" xfId="0" applyNumberFormat="1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vertical="center" wrapText="1"/>
    </xf>
    <xf numFmtId="166" fontId="4" fillId="0" borderId="11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wrapText="1"/>
    </xf>
    <xf numFmtId="165" fontId="6" fillId="0" borderId="11" xfId="0" applyNumberFormat="1" applyFont="1" applyFill="1" applyBorder="1" applyAlignment="1">
      <alignment horizontal="right" wrapText="1"/>
    </xf>
    <xf numFmtId="165" fontId="6" fillId="0" borderId="11" xfId="0" applyNumberFormat="1" applyFont="1" applyFill="1" applyBorder="1" applyAlignment="1">
      <alignment wrapText="1"/>
    </xf>
    <xf numFmtId="166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6" fontId="6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164" fontId="4" fillId="0" borderId="11" xfId="0" applyNumberFormat="1" applyFont="1" applyFill="1" applyBorder="1" applyAlignment="1">
      <alignment wrapText="1"/>
    </xf>
    <xf numFmtId="165" fontId="4" fillId="0" borderId="11" xfId="0" applyNumberFormat="1" applyFont="1" applyFill="1" applyBorder="1" applyAlignment="1">
      <alignment wrapText="1"/>
    </xf>
    <xf numFmtId="164" fontId="0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9" fontId="4" fillId="0" borderId="11" xfId="135" applyFont="1" applyFill="1" applyBorder="1" applyAlignment="1" applyProtection="1">
      <alignment horizontal="center" vertical="top" wrapText="1"/>
      <protection/>
    </xf>
    <xf numFmtId="0" fontId="4" fillId="0" borderId="11" xfId="0" applyFont="1" applyFill="1" applyBorder="1" applyAlignment="1">
      <alignment horizontal="center" vertical="top" wrapText="1"/>
    </xf>
    <xf numFmtId="166" fontId="4" fillId="0" borderId="11" xfId="0" applyNumberFormat="1" applyFont="1" applyFill="1" applyBorder="1" applyAlignment="1">
      <alignment horizontal="left" wrapText="1"/>
    </xf>
    <xf numFmtId="166" fontId="7" fillId="0" borderId="11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top" wrapText="1"/>
    </xf>
    <xf numFmtId="166" fontId="4" fillId="0" borderId="11" xfId="0" applyNumberFormat="1" applyFont="1" applyFill="1" applyBorder="1" applyAlignment="1">
      <alignment horizontal="left" vertical="center" wrapText="1"/>
    </xf>
    <xf numFmtId="166" fontId="7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</cellXfs>
  <cellStyles count="13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4" xfId="58"/>
    <cellStyle name="Обычный 14 2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0" xfId="67"/>
    <cellStyle name="Обычный 21" xfId="68"/>
    <cellStyle name="Обычный 22" xfId="69"/>
    <cellStyle name="Обычный 22 2" xfId="70"/>
    <cellStyle name="Обычный 23" xfId="71"/>
    <cellStyle name="Обычный 24" xfId="72"/>
    <cellStyle name="Обычный 25" xfId="73"/>
    <cellStyle name="Обычный 26" xfId="74"/>
    <cellStyle name="Обычный 27" xfId="75"/>
    <cellStyle name="Обычный 28" xfId="76"/>
    <cellStyle name="Обычный 29" xfId="77"/>
    <cellStyle name="Обычный 3" xfId="78"/>
    <cellStyle name="Обычный 3 2" xfId="79"/>
    <cellStyle name="Обычный 3 3" xfId="80"/>
    <cellStyle name="Обычный 30" xfId="81"/>
    <cellStyle name="Обычный 31" xfId="82"/>
    <cellStyle name="Обычный 32" xfId="83"/>
    <cellStyle name="Обычный 33" xfId="84"/>
    <cellStyle name="Обычный 34" xfId="85"/>
    <cellStyle name="Обычный 35" xfId="86"/>
    <cellStyle name="Обычный 36" xfId="87"/>
    <cellStyle name="Обычный 37" xfId="88"/>
    <cellStyle name="Обычный 38" xfId="89"/>
    <cellStyle name="Обычный 39" xfId="90"/>
    <cellStyle name="Обычный 4" xfId="91"/>
    <cellStyle name="Обычный 40" xfId="92"/>
    <cellStyle name="Обычный 41" xfId="93"/>
    <cellStyle name="Обычный 42" xfId="94"/>
    <cellStyle name="Обычный 43" xfId="95"/>
    <cellStyle name="Обычный 44" xfId="96"/>
    <cellStyle name="Обычный 45" xfId="97"/>
    <cellStyle name="Обычный 46" xfId="98"/>
    <cellStyle name="Обычный 47" xfId="99"/>
    <cellStyle name="Обычный 48" xfId="100"/>
    <cellStyle name="Обычный 49" xfId="101"/>
    <cellStyle name="Обычный 5" xfId="102"/>
    <cellStyle name="Обычный 5 2" xfId="103"/>
    <cellStyle name="Обычный 50" xfId="104"/>
    <cellStyle name="Обычный 51" xfId="105"/>
    <cellStyle name="Обычный 52" xfId="106"/>
    <cellStyle name="Обычный 53" xfId="107"/>
    <cellStyle name="Обычный 54" xfId="108"/>
    <cellStyle name="Обычный 55" xfId="109"/>
    <cellStyle name="Обычный 56" xfId="110"/>
    <cellStyle name="Обычный 57" xfId="111"/>
    <cellStyle name="Обычный 58" xfId="112"/>
    <cellStyle name="Обычный 59" xfId="113"/>
    <cellStyle name="Обычный 6" xfId="114"/>
    <cellStyle name="Обычный 60" xfId="115"/>
    <cellStyle name="Обычный 61" xfId="116"/>
    <cellStyle name="Обычный 62" xfId="117"/>
    <cellStyle name="Обычный 63" xfId="118"/>
    <cellStyle name="Обычный 64" xfId="119"/>
    <cellStyle name="Обычный 65" xfId="120"/>
    <cellStyle name="Обычный 66" xfId="121"/>
    <cellStyle name="Обычный 67" xfId="122"/>
    <cellStyle name="Обычный 68" xfId="123"/>
    <cellStyle name="Обычный 69" xfId="124"/>
    <cellStyle name="Обычный 7" xfId="125"/>
    <cellStyle name="Обычный 70" xfId="126"/>
    <cellStyle name="Обычный 71" xfId="127"/>
    <cellStyle name="Обычный 72" xfId="128"/>
    <cellStyle name="Обычный 8" xfId="129"/>
    <cellStyle name="Обычный 9" xfId="130"/>
    <cellStyle name="Плохой" xfId="131"/>
    <cellStyle name="Пояснение" xfId="132"/>
    <cellStyle name="Примечание" xfId="133"/>
    <cellStyle name="Percent" xfId="134"/>
    <cellStyle name="Процентный 2" xfId="135"/>
    <cellStyle name="Процентный 2 2" xfId="136"/>
    <cellStyle name="Связанная ячейка" xfId="137"/>
    <cellStyle name="Текст предупреждения" xfId="138"/>
    <cellStyle name="Comma" xfId="139"/>
    <cellStyle name="Comma [0]" xfId="140"/>
    <cellStyle name="Финансовый 2" xfId="141"/>
    <cellStyle name="Финансовый 3" xfId="142"/>
    <cellStyle name="Хороший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tabSelected="1" zoomScale="80" zoomScaleNormal="8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20" sqref="G20"/>
    </sheetView>
  </sheetViews>
  <sheetFormatPr defaultColWidth="9.00390625" defaultRowHeight="12.75"/>
  <cols>
    <col min="1" max="2" width="9.125" style="51" customWidth="1"/>
    <col min="3" max="3" width="19.375" style="69" hidden="1" customWidth="1"/>
    <col min="4" max="4" width="55.25390625" style="51" customWidth="1"/>
    <col min="5" max="5" width="14.625" style="21" customWidth="1"/>
    <col min="6" max="6" width="15.625" style="51" customWidth="1"/>
    <col min="7" max="8" width="13.00390625" style="51" customWidth="1"/>
    <col min="9" max="9" width="16.25390625" style="51" customWidth="1"/>
    <col min="10" max="10" width="13.875" style="51" customWidth="1"/>
    <col min="11" max="11" width="15.125" style="51" customWidth="1"/>
    <col min="12" max="12" width="14.375" style="51" customWidth="1"/>
    <col min="13" max="13" width="15.625" style="51" customWidth="1"/>
    <col min="14" max="14" width="13.75390625" style="51" customWidth="1"/>
    <col min="15" max="15" width="10.875" style="51" customWidth="1"/>
    <col min="16" max="16" width="10.125" style="51" customWidth="1"/>
    <col min="17" max="17" width="9.25390625" style="51" customWidth="1"/>
    <col min="18" max="16384" width="9.125" style="51" customWidth="1"/>
  </cols>
  <sheetData>
    <row r="1" spans="1:17" ht="20.25">
      <c r="A1" s="81" t="s">
        <v>137</v>
      </c>
      <c r="B1" s="81"/>
      <c r="C1" s="82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ht="20.25" customHeight="1">
      <c r="A2" s="27"/>
      <c r="B2" s="28"/>
      <c r="C2" s="60"/>
      <c r="D2" s="25"/>
      <c r="E2" s="24"/>
      <c r="F2" s="25"/>
      <c r="G2" s="25"/>
      <c r="H2" s="30"/>
      <c r="I2" s="30"/>
      <c r="J2" s="30"/>
      <c r="K2" s="25"/>
      <c r="L2" s="25"/>
      <c r="M2" s="25"/>
      <c r="N2" s="25"/>
      <c r="O2" s="25"/>
      <c r="P2" s="23"/>
      <c r="Q2" s="23" t="s">
        <v>0</v>
      </c>
    </row>
    <row r="3" spans="1:17" ht="20.25" customHeight="1">
      <c r="A3" s="83" t="s">
        <v>1</v>
      </c>
      <c r="B3" s="71" t="s">
        <v>2</v>
      </c>
      <c r="C3" s="84" t="s">
        <v>3</v>
      </c>
      <c r="D3" s="86" t="s">
        <v>4</v>
      </c>
      <c r="E3" s="88" t="s">
        <v>154</v>
      </c>
      <c r="F3" s="91" t="s">
        <v>136</v>
      </c>
      <c r="G3" s="93"/>
      <c r="H3" s="92"/>
      <c r="I3" s="91" t="s">
        <v>138</v>
      </c>
      <c r="J3" s="92"/>
      <c r="K3" s="91" t="s">
        <v>5</v>
      </c>
      <c r="L3" s="93"/>
      <c r="M3" s="93"/>
      <c r="N3" s="92"/>
      <c r="O3" s="71" t="s">
        <v>153</v>
      </c>
      <c r="P3" s="70" t="s">
        <v>151</v>
      </c>
      <c r="Q3" s="71" t="s">
        <v>152</v>
      </c>
    </row>
    <row r="4" spans="1:17" ht="63">
      <c r="A4" s="83"/>
      <c r="B4" s="71"/>
      <c r="C4" s="85"/>
      <c r="D4" s="87"/>
      <c r="E4" s="89"/>
      <c r="F4" s="1" t="s">
        <v>133</v>
      </c>
      <c r="G4" s="1" t="s">
        <v>155</v>
      </c>
      <c r="H4" s="1" t="s">
        <v>156</v>
      </c>
      <c r="I4" s="1" t="s">
        <v>158</v>
      </c>
      <c r="J4" s="1" t="s">
        <v>156</v>
      </c>
      <c r="K4" s="1" t="s">
        <v>139</v>
      </c>
      <c r="L4" s="1" t="s">
        <v>6</v>
      </c>
      <c r="M4" s="1" t="s">
        <v>140</v>
      </c>
      <c r="N4" s="1" t="s">
        <v>157</v>
      </c>
      <c r="O4" s="71"/>
      <c r="P4" s="70"/>
      <c r="Q4" s="71"/>
    </row>
    <row r="5" spans="1:17" ht="29.25" customHeight="1">
      <c r="A5" s="36"/>
      <c r="B5" s="37"/>
      <c r="C5" s="61"/>
      <c r="D5" s="38" t="s">
        <v>7</v>
      </c>
      <c r="E5" s="39">
        <f aca="true" t="shared" si="0" ref="E5:J5">E17+E19+E21+E18+E20</f>
        <v>2716455.63</v>
      </c>
      <c r="F5" s="39">
        <f t="shared" si="0"/>
        <v>20002935.000000004</v>
      </c>
      <c r="G5" s="39">
        <f t="shared" si="0"/>
        <v>3637018.9999999995</v>
      </c>
      <c r="H5" s="39">
        <f t="shared" si="0"/>
        <v>2805101.6999999997</v>
      </c>
      <c r="I5" s="39">
        <f t="shared" si="0"/>
        <v>1719535.5999999999</v>
      </c>
      <c r="J5" s="39">
        <f t="shared" si="0"/>
        <v>1332980.72</v>
      </c>
      <c r="K5" s="39">
        <f>I5-E5</f>
        <v>-996920.03</v>
      </c>
      <c r="L5" s="39">
        <f>I5-G5</f>
        <v>-1917483.3999999997</v>
      </c>
      <c r="M5" s="39">
        <f>I5-F5</f>
        <v>-18283399.400000002</v>
      </c>
      <c r="N5" s="39">
        <f>J5-H5</f>
        <v>-1472120.9799999997</v>
      </c>
      <c r="O5" s="40">
        <f aca="true" t="shared" si="1" ref="O5:O36">_xlfn.IFERROR(I5/E5,"")</f>
        <v>0.6330070629572551</v>
      </c>
      <c r="P5" s="40">
        <f aca="true" t="shared" si="2" ref="P5:P36">_xlfn.IFERROR(I5/G5,"")</f>
        <v>0.47278708194815594</v>
      </c>
      <c r="Q5" s="40">
        <f aca="true" t="shared" si="3" ref="Q5:Q36">_xlfn.IFERROR(I5/F5,"")</f>
        <v>0.08596416475882163</v>
      </c>
    </row>
    <row r="6" spans="1:17" ht="15.75">
      <c r="A6" s="78" t="s">
        <v>12</v>
      </c>
      <c r="B6" s="55" t="s">
        <v>13</v>
      </c>
      <c r="C6" s="61" t="s">
        <v>14</v>
      </c>
      <c r="D6" s="4" t="s">
        <v>15</v>
      </c>
      <c r="E6" s="5">
        <v>2017060.55</v>
      </c>
      <c r="F6" s="5">
        <f>14235121.9+613644.6</f>
        <v>14848766.5</v>
      </c>
      <c r="G6" s="5">
        <v>2796612.3</v>
      </c>
      <c r="H6" s="5">
        <v>2055445</v>
      </c>
      <c r="I6" s="3">
        <f>1119799.41+207387</f>
        <v>1327186.41</v>
      </c>
      <c r="J6" s="3">
        <f>732433.61+207387</f>
        <v>939820.61</v>
      </c>
      <c r="K6" s="5">
        <f aca="true" t="shared" si="4" ref="K6:K56">I6-E6</f>
        <v>-689874.1400000001</v>
      </c>
      <c r="L6" s="5">
        <f aca="true" t="shared" si="5" ref="L6:L63">I6-G6</f>
        <v>-1469425.89</v>
      </c>
      <c r="M6" s="5">
        <f aca="true" t="shared" si="6" ref="M6:M63">I6-F6</f>
        <v>-13521580.09</v>
      </c>
      <c r="N6" s="5">
        <f>J6-H6</f>
        <v>-1115624.3900000001</v>
      </c>
      <c r="O6" s="32">
        <f t="shared" si="1"/>
        <v>0.6579804508099669</v>
      </c>
      <c r="P6" s="32">
        <f t="shared" si="2"/>
        <v>0.4745693244644601</v>
      </c>
      <c r="Q6" s="32">
        <f t="shared" si="3"/>
        <v>0.08938024650061</v>
      </c>
    </row>
    <row r="7" spans="1:17" ht="15.75">
      <c r="A7" s="94"/>
      <c r="B7" s="55" t="s">
        <v>8</v>
      </c>
      <c r="C7" s="61" t="s">
        <v>9</v>
      </c>
      <c r="D7" s="2" t="s">
        <v>10</v>
      </c>
      <c r="E7" s="3">
        <v>11708.56</v>
      </c>
      <c r="F7" s="3">
        <v>80057.5</v>
      </c>
      <c r="G7" s="3">
        <v>17850</v>
      </c>
      <c r="H7" s="3">
        <v>11430</v>
      </c>
      <c r="I7" s="3">
        <f>9604.97+3120.4</f>
        <v>12725.369999999999</v>
      </c>
      <c r="J7" s="3">
        <f>889.9+3120.4</f>
        <v>4010.3</v>
      </c>
      <c r="K7" s="3">
        <f>I7-E7</f>
        <v>1016.8099999999995</v>
      </c>
      <c r="L7" s="3">
        <f>I7-G7</f>
        <v>-5124.630000000001</v>
      </c>
      <c r="M7" s="3">
        <f>I7-F7</f>
        <v>-67332.13</v>
      </c>
      <c r="N7" s="3">
        <f>J7-H7</f>
        <v>-7419.7</v>
      </c>
      <c r="O7" s="32">
        <f t="shared" si="1"/>
        <v>1.086843300969547</v>
      </c>
      <c r="P7" s="32">
        <f t="shared" si="2"/>
        <v>0.7129058823529412</v>
      </c>
      <c r="Q7" s="32">
        <f t="shared" si="3"/>
        <v>0.15895287761921117</v>
      </c>
    </row>
    <row r="8" spans="1:17" ht="15.75">
      <c r="A8" s="94"/>
      <c r="B8" s="55" t="s">
        <v>13</v>
      </c>
      <c r="C8" s="61" t="s">
        <v>142</v>
      </c>
      <c r="D8" s="4" t="s">
        <v>141</v>
      </c>
      <c r="E8" s="5"/>
      <c r="F8" s="5">
        <v>1204375.9</v>
      </c>
      <c r="G8" s="5">
        <v>218966.3</v>
      </c>
      <c r="H8" s="5">
        <v>218966.3</v>
      </c>
      <c r="I8" s="3">
        <f>4313.55+950</f>
        <v>5263.55</v>
      </c>
      <c r="J8" s="3">
        <f>7825.11+950</f>
        <v>8775.11</v>
      </c>
      <c r="K8" s="5">
        <f>I8-E8</f>
        <v>5263.55</v>
      </c>
      <c r="L8" s="5">
        <f>I8-G8</f>
        <v>-213702.75</v>
      </c>
      <c r="M8" s="5">
        <f>I8-F8</f>
        <v>-1199112.3499999999</v>
      </c>
      <c r="N8" s="5">
        <f aca="true" t="shared" si="7" ref="N8:N63">J8-H8</f>
        <v>-210191.19</v>
      </c>
      <c r="O8" s="32">
        <f t="shared" si="1"/>
      </c>
      <c r="P8" s="32">
        <f t="shared" si="2"/>
        <v>0.02403817391077988</v>
      </c>
      <c r="Q8" s="32">
        <f t="shared" si="3"/>
        <v>0.004370354803678819</v>
      </c>
    </row>
    <row r="9" spans="1:17" ht="15.75">
      <c r="A9" s="94"/>
      <c r="B9" s="55" t="s">
        <v>13</v>
      </c>
      <c r="C9" s="61" t="s">
        <v>16</v>
      </c>
      <c r="D9" s="4" t="s">
        <v>17</v>
      </c>
      <c r="E9" s="5">
        <v>1136.13</v>
      </c>
      <c r="F9" s="5"/>
      <c r="G9" s="5"/>
      <c r="H9" s="5"/>
      <c r="I9" s="3">
        <f>-3953.75+21.1</f>
        <v>-3932.65</v>
      </c>
      <c r="J9" s="3">
        <f>8.74+21.1</f>
        <v>29.840000000000003</v>
      </c>
      <c r="K9" s="5">
        <f t="shared" si="4"/>
        <v>-5068.780000000001</v>
      </c>
      <c r="L9" s="5">
        <f>I9-G9</f>
        <v>-3932.65</v>
      </c>
      <c r="M9" s="5">
        <f t="shared" si="6"/>
        <v>-3932.65</v>
      </c>
      <c r="N9" s="5">
        <f t="shared" si="7"/>
        <v>29.840000000000003</v>
      </c>
      <c r="O9" s="32">
        <f t="shared" si="1"/>
        <v>-3.4614436728191316</v>
      </c>
      <c r="P9" s="32">
        <f t="shared" si="2"/>
      </c>
      <c r="Q9" s="32">
        <f t="shared" si="3"/>
      </c>
    </row>
    <row r="10" spans="1:17" ht="15.75">
      <c r="A10" s="94"/>
      <c r="B10" s="55" t="s">
        <v>13</v>
      </c>
      <c r="C10" s="61" t="s">
        <v>18</v>
      </c>
      <c r="D10" s="4" t="s">
        <v>19</v>
      </c>
      <c r="E10" s="5">
        <v>165.86</v>
      </c>
      <c r="F10" s="5">
        <v>4690.3</v>
      </c>
      <c r="G10" s="5">
        <v>2720.4</v>
      </c>
      <c r="H10" s="5">
        <v>2720.4</v>
      </c>
      <c r="I10" s="5">
        <v>16.17</v>
      </c>
      <c r="J10" s="5">
        <v>0.03</v>
      </c>
      <c r="K10" s="5">
        <f t="shared" si="4"/>
        <v>-149.69</v>
      </c>
      <c r="L10" s="5">
        <f t="shared" si="5"/>
        <v>-2704.23</v>
      </c>
      <c r="M10" s="5">
        <f t="shared" si="6"/>
        <v>-4674.13</v>
      </c>
      <c r="N10" s="5">
        <f t="shared" si="7"/>
        <v>-2720.37</v>
      </c>
      <c r="O10" s="32">
        <f t="shared" si="1"/>
        <v>0.0974918606053298</v>
      </c>
      <c r="P10" s="32">
        <f t="shared" si="2"/>
        <v>0.005943978826643141</v>
      </c>
      <c r="Q10" s="32">
        <f t="shared" si="3"/>
        <v>0.0034475406690403602</v>
      </c>
    </row>
    <row r="11" spans="1:17" ht="31.5">
      <c r="A11" s="94"/>
      <c r="B11" s="55" t="s">
        <v>13</v>
      </c>
      <c r="C11" s="61" t="s">
        <v>20</v>
      </c>
      <c r="D11" s="4" t="s">
        <v>144</v>
      </c>
      <c r="E11" s="5">
        <v>28892.13</v>
      </c>
      <c r="F11" s="5">
        <v>314766.5</v>
      </c>
      <c r="G11" s="5">
        <v>1823</v>
      </c>
      <c r="H11" s="5">
        <v>0</v>
      </c>
      <c r="I11" s="5">
        <f>-42901.01+229.2</f>
        <v>-42671.810000000005</v>
      </c>
      <c r="J11" s="5">
        <f>-786.98+229.2</f>
        <v>-557.78</v>
      </c>
      <c r="K11" s="5">
        <f t="shared" si="4"/>
        <v>-71563.94</v>
      </c>
      <c r="L11" s="5">
        <f t="shared" si="5"/>
        <v>-44494.810000000005</v>
      </c>
      <c r="M11" s="5">
        <f t="shared" si="6"/>
        <v>-357438.31</v>
      </c>
      <c r="N11" s="5">
        <f t="shared" si="7"/>
        <v>-557.78</v>
      </c>
      <c r="O11" s="32">
        <f t="shared" si="1"/>
        <v>-1.4769354145921398</v>
      </c>
      <c r="P11" s="32">
        <f t="shared" si="2"/>
        <v>-23.407465715852993</v>
      </c>
      <c r="Q11" s="32">
        <f t="shared" si="3"/>
        <v>-0.13556655489068883</v>
      </c>
    </row>
    <row r="12" spans="1:17" ht="15.75">
      <c r="A12" s="94"/>
      <c r="B12" s="55" t="s">
        <v>21</v>
      </c>
      <c r="C12" s="61" t="s">
        <v>22</v>
      </c>
      <c r="D12" s="4" t="s">
        <v>23</v>
      </c>
      <c r="E12" s="5">
        <v>38013.72</v>
      </c>
      <c r="F12" s="5">
        <v>1083466.2</v>
      </c>
      <c r="G12" s="5">
        <v>45300</v>
      </c>
      <c r="H12" s="5">
        <v>12500</v>
      </c>
      <c r="I12" s="5">
        <f>7659.88+308.2</f>
        <v>7968.08</v>
      </c>
      <c r="J12" s="5">
        <f>-4027.69+308.2</f>
        <v>-3719.4900000000002</v>
      </c>
      <c r="K12" s="5">
        <f t="shared" si="4"/>
        <v>-30045.64</v>
      </c>
      <c r="L12" s="5">
        <f t="shared" si="5"/>
        <v>-37331.92</v>
      </c>
      <c r="M12" s="5">
        <f t="shared" si="6"/>
        <v>-1075498.1199999999</v>
      </c>
      <c r="N12" s="5">
        <f t="shared" si="7"/>
        <v>-16219.49</v>
      </c>
      <c r="O12" s="32">
        <f t="shared" si="1"/>
        <v>0.20961063531798518</v>
      </c>
      <c r="P12" s="32">
        <f t="shared" si="2"/>
        <v>0.17589580573951435</v>
      </c>
      <c r="Q12" s="32">
        <f t="shared" si="3"/>
        <v>0.007354248798901157</v>
      </c>
    </row>
    <row r="13" spans="1:17" ht="15.75">
      <c r="A13" s="94"/>
      <c r="B13" s="55" t="s">
        <v>105</v>
      </c>
      <c r="C13" s="61" t="s">
        <v>148</v>
      </c>
      <c r="D13" s="4" t="s">
        <v>147</v>
      </c>
      <c r="E13" s="5">
        <v>147841.96</v>
      </c>
      <c r="F13" s="5"/>
      <c r="G13" s="5"/>
      <c r="H13" s="5"/>
      <c r="I13" s="5">
        <v>0</v>
      </c>
      <c r="J13" s="5">
        <v>0</v>
      </c>
      <c r="K13" s="5">
        <f t="shared" si="4"/>
        <v>-147841.96</v>
      </c>
      <c r="L13" s="5">
        <f t="shared" si="5"/>
        <v>0</v>
      </c>
      <c r="M13" s="5">
        <f t="shared" si="6"/>
        <v>0</v>
      </c>
      <c r="N13" s="5">
        <f t="shared" si="7"/>
        <v>0</v>
      </c>
      <c r="O13" s="32">
        <f t="shared" si="1"/>
        <v>0</v>
      </c>
      <c r="P13" s="32">
        <f t="shared" si="2"/>
      </c>
      <c r="Q13" s="32">
        <f t="shared" si="3"/>
      </c>
    </row>
    <row r="14" spans="1:17" ht="15.75">
      <c r="A14" s="94"/>
      <c r="B14" s="55" t="s">
        <v>21</v>
      </c>
      <c r="C14" s="61" t="s">
        <v>24</v>
      </c>
      <c r="D14" s="4" t="s">
        <v>25</v>
      </c>
      <c r="E14" s="5">
        <v>439647.93</v>
      </c>
      <c r="F14" s="5">
        <v>2237196.9</v>
      </c>
      <c r="G14" s="5">
        <v>499900</v>
      </c>
      <c r="H14" s="5">
        <v>481600</v>
      </c>
      <c r="I14" s="5">
        <f>334345.15+52076.8</f>
        <v>386421.95</v>
      </c>
      <c r="J14" s="5">
        <f>330042.66+52076.8</f>
        <v>382119.45999999996</v>
      </c>
      <c r="K14" s="5">
        <f t="shared" si="4"/>
        <v>-53225.97999999998</v>
      </c>
      <c r="L14" s="5">
        <f t="shared" si="5"/>
        <v>-113478.04999999999</v>
      </c>
      <c r="M14" s="5">
        <f t="shared" si="6"/>
        <v>-1850774.95</v>
      </c>
      <c r="N14" s="5">
        <f t="shared" si="7"/>
        <v>-99480.54000000004</v>
      </c>
      <c r="O14" s="32">
        <f t="shared" si="1"/>
        <v>0.8789349923699175</v>
      </c>
      <c r="P14" s="32">
        <f t="shared" si="2"/>
        <v>0.7729984996999401</v>
      </c>
      <c r="Q14" s="32">
        <f t="shared" si="3"/>
        <v>0.17272594557948834</v>
      </c>
    </row>
    <row r="15" spans="1:17" ht="15.75">
      <c r="A15" s="94"/>
      <c r="B15" s="55" t="s">
        <v>26</v>
      </c>
      <c r="C15" s="61" t="s">
        <v>27</v>
      </c>
      <c r="D15" s="4" t="s">
        <v>28</v>
      </c>
      <c r="E15" s="5">
        <v>31719.030000000002</v>
      </c>
      <c r="F15" s="5">
        <v>228385.6</v>
      </c>
      <c r="G15" s="5">
        <v>53580</v>
      </c>
      <c r="H15" s="5">
        <v>22310</v>
      </c>
      <c r="I15" s="5">
        <f>25674.42+802</f>
        <v>26476.42</v>
      </c>
      <c r="J15" s="5">
        <f>1691.64+802</f>
        <v>2493.6400000000003</v>
      </c>
      <c r="K15" s="5">
        <f t="shared" si="4"/>
        <v>-5242.610000000004</v>
      </c>
      <c r="L15" s="5">
        <f t="shared" si="5"/>
        <v>-27103.58</v>
      </c>
      <c r="M15" s="5">
        <f t="shared" si="6"/>
        <v>-201909.18</v>
      </c>
      <c r="N15" s="5">
        <f t="shared" si="7"/>
        <v>-19816.36</v>
      </c>
      <c r="O15" s="32">
        <f t="shared" si="1"/>
        <v>0.8347172028905044</v>
      </c>
      <c r="P15" s="32">
        <f t="shared" si="2"/>
        <v>0.4941474430757745</v>
      </c>
      <c r="Q15" s="32">
        <f t="shared" si="3"/>
        <v>0.11592858744159</v>
      </c>
    </row>
    <row r="16" spans="1:17" ht="15.75">
      <c r="A16" s="94"/>
      <c r="B16" s="55" t="s">
        <v>21</v>
      </c>
      <c r="C16" s="61" t="s">
        <v>29</v>
      </c>
      <c r="D16" s="4" t="s">
        <v>30</v>
      </c>
      <c r="E16" s="5">
        <v>17.96</v>
      </c>
      <c r="F16" s="5"/>
      <c r="G16" s="5"/>
      <c r="H16" s="5"/>
      <c r="I16" s="31">
        <v>-2.29</v>
      </c>
      <c r="J16" s="31">
        <v>0</v>
      </c>
      <c r="K16" s="5">
        <f t="shared" si="4"/>
        <v>-20.25</v>
      </c>
      <c r="L16" s="5">
        <f t="shared" si="5"/>
        <v>-2.29</v>
      </c>
      <c r="M16" s="5">
        <f t="shared" si="6"/>
        <v>-2.29</v>
      </c>
      <c r="N16" s="5">
        <f t="shared" si="7"/>
        <v>0</v>
      </c>
      <c r="O16" s="32">
        <f t="shared" si="1"/>
        <v>-0.1275055679287305</v>
      </c>
      <c r="P16" s="32">
        <f t="shared" si="2"/>
      </c>
      <c r="Q16" s="32">
        <f t="shared" si="3"/>
      </c>
    </row>
    <row r="17" spans="1:17" ht="15.75">
      <c r="A17" s="95"/>
      <c r="B17" s="44"/>
      <c r="C17" s="62"/>
      <c r="D17" s="45" t="s">
        <v>11</v>
      </c>
      <c r="E17" s="26">
        <f aca="true" t="shared" si="8" ref="E17:J17">SUM(E6:E16)</f>
        <v>2716203.83</v>
      </c>
      <c r="F17" s="26">
        <f t="shared" si="8"/>
        <v>20001705.400000002</v>
      </c>
      <c r="G17" s="26">
        <f t="shared" si="8"/>
        <v>3636751.9999999995</v>
      </c>
      <c r="H17" s="26">
        <f t="shared" si="8"/>
        <v>2804971.6999999997</v>
      </c>
      <c r="I17" s="26">
        <f t="shared" si="8"/>
        <v>1719451.2</v>
      </c>
      <c r="J17" s="26">
        <f t="shared" si="8"/>
        <v>1332971.72</v>
      </c>
      <c r="K17" s="26">
        <f t="shared" si="4"/>
        <v>-996752.6300000001</v>
      </c>
      <c r="L17" s="26">
        <f t="shared" si="5"/>
        <v>-1917300.7999999996</v>
      </c>
      <c r="M17" s="26">
        <f t="shared" si="6"/>
        <v>-18282254.200000003</v>
      </c>
      <c r="N17" s="26">
        <f>J17-H17</f>
        <v>-1471999.9799999997</v>
      </c>
      <c r="O17" s="46">
        <f t="shared" si="1"/>
        <v>0.6330346717757187</v>
      </c>
      <c r="P17" s="46">
        <f t="shared" si="2"/>
        <v>0.47279858511111017</v>
      </c>
      <c r="Q17" s="46">
        <f t="shared" si="3"/>
        <v>0.08596522974485965</v>
      </c>
    </row>
    <row r="18" spans="1:17" ht="15.75">
      <c r="A18" s="58" t="s">
        <v>102</v>
      </c>
      <c r="B18" s="55" t="s">
        <v>32</v>
      </c>
      <c r="C18" s="61" t="s">
        <v>34</v>
      </c>
      <c r="D18" s="4" t="s">
        <v>35</v>
      </c>
      <c r="E18" s="5">
        <v>24</v>
      </c>
      <c r="F18" s="5">
        <v>140</v>
      </c>
      <c r="G18" s="5">
        <v>35</v>
      </c>
      <c r="H18" s="5">
        <v>15</v>
      </c>
      <c r="I18" s="10">
        <v>24</v>
      </c>
      <c r="J18" s="10">
        <v>0</v>
      </c>
      <c r="K18" s="5">
        <f t="shared" si="4"/>
        <v>0</v>
      </c>
      <c r="L18" s="5">
        <f t="shared" si="5"/>
        <v>-11</v>
      </c>
      <c r="M18" s="5">
        <f t="shared" si="6"/>
        <v>-116</v>
      </c>
      <c r="N18" s="5">
        <f t="shared" si="7"/>
        <v>-15</v>
      </c>
      <c r="O18" s="32">
        <f t="shared" si="1"/>
        <v>1</v>
      </c>
      <c r="P18" s="32">
        <f t="shared" si="2"/>
        <v>0.6857142857142857</v>
      </c>
      <c r="Q18" s="32">
        <f t="shared" si="3"/>
        <v>0.17142857142857143</v>
      </c>
    </row>
    <row r="19" spans="1:17" ht="19.5" customHeight="1">
      <c r="A19" s="58" t="s">
        <v>31</v>
      </c>
      <c r="B19" s="55" t="s">
        <v>32</v>
      </c>
      <c r="C19" s="61" t="s">
        <v>33</v>
      </c>
      <c r="D19" s="4" t="s">
        <v>143</v>
      </c>
      <c r="E19" s="5">
        <v>28.8</v>
      </c>
      <c r="F19" s="5"/>
      <c r="G19" s="5"/>
      <c r="H19" s="5"/>
      <c r="I19" s="10">
        <v>23.2</v>
      </c>
      <c r="J19" s="10">
        <v>4</v>
      </c>
      <c r="K19" s="5">
        <f t="shared" si="4"/>
        <v>-5.600000000000001</v>
      </c>
      <c r="L19" s="5">
        <f t="shared" si="5"/>
        <v>23.2</v>
      </c>
      <c r="M19" s="5">
        <f t="shared" si="6"/>
        <v>23.2</v>
      </c>
      <c r="N19" s="5">
        <f t="shared" si="7"/>
        <v>4</v>
      </c>
      <c r="O19" s="32">
        <f t="shared" si="1"/>
        <v>0.8055555555555555</v>
      </c>
      <c r="P19" s="32">
        <f t="shared" si="2"/>
      </c>
      <c r="Q19" s="32">
        <f t="shared" si="3"/>
      </c>
    </row>
    <row r="20" spans="1:17" ht="31.5">
      <c r="A20" s="56" t="s">
        <v>38</v>
      </c>
      <c r="B20" s="57" t="s">
        <v>104</v>
      </c>
      <c r="C20" s="61" t="s">
        <v>39</v>
      </c>
      <c r="D20" s="4" t="s">
        <v>40</v>
      </c>
      <c r="E20" s="5">
        <v>184</v>
      </c>
      <c r="F20" s="5">
        <v>969.6</v>
      </c>
      <c r="G20" s="5">
        <v>222</v>
      </c>
      <c r="H20" s="5">
        <v>110</v>
      </c>
      <c r="I20" s="10">
        <v>27.2</v>
      </c>
      <c r="J20" s="10">
        <v>0</v>
      </c>
      <c r="K20" s="5">
        <f t="shared" si="4"/>
        <v>-156.8</v>
      </c>
      <c r="L20" s="5">
        <f t="shared" si="5"/>
        <v>-194.8</v>
      </c>
      <c r="M20" s="5">
        <f t="shared" si="6"/>
        <v>-942.4</v>
      </c>
      <c r="N20" s="5">
        <f t="shared" si="7"/>
        <v>-110</v>
      </c>
      <c r="O20" s="32">
        <f t="shared" si="1"/>
        <v>0.14782608695652175</v>
      </c>
      <c r="P20" s="32">
        <f t="shared" si="2"/>
        <v>0.12252252252252252</v>
      </c>
      <c r="Q20" s="32">
        <f t="shared" si="3"/>
        <v>0.028052805280528052</v>
      </c>
    </row>
    <row r="21" spans="1:17" ht="15.75">
      <c r="A21" s="58" t="s">
        <v>36</v>
      </c>
      <c r="B21" s="55" t="s">
        <v>13</v>
      </c>
      <c r="C21" s="61" t="s">
        <v>37</v>
      </c>
      <c r="D21" s="4" t="s">
        <v>106</v>
      </c>
      <c r="E21" s="5">
        <v>15</v>
      </c>
      <c r="F21" s="5">
        <v>120</v>
      </c>
      <c r="G21" s="5">
        <v>10</v>
      </c>
      <c r="H21" s="5">
        <v>5</v>
      </c>
      <c r="I21" s="10">
        <v>10</v>
      </c>
      <c r="J21" s="10">
        <v>5</v>
      </c>
      <c r="K21" s="5">
        <f t="shared" si="4"/>
        <v>-5</v>
      </c>
      <c r="L21" s="5">
        <f t="shared" si="5"/>
        <v>0</v>
      </c>
      <c r="M21" s="5">
        <f t="shared" si="6"/>
        <v>-110</v>
      </c>
      <c r="N21" s="5">
        <f t="shared" si="7"/>
        <v>0</v>
      </c>
      <c r="O21" s="32">
        <f t="shared" si="1"/>
        <v>0.6666666666666666</v>
      </c>
      <c r="P21" s="32">
        <f t="shared" si="2"/>
        <v>1</v>
      </c>
      <c r="Q21" s="32">
        <f t="shared" si="3"/>
        <v>0.08333333333333333</v>
      </c>
    </row>
    <row r="22" spans="1:17" ht="27.75" customHeight="1">
      <c r="A22" s="98"/>
      <c r="B22" s="98"/>
      <c r="C22" s="99"/>
      <c r="D22" s="41" t="s">
        <v>41</v>
      </c>
      <c r="E22" s="39">
        <f aca="true" t="shared" si="9" ref="E22:J22">E26+E29+E37+E45+E47+E52+E55+E57+E66</f>
        <v>877981.7700000001</v>
      </c>
      <c r="F22" s="39">
        <f t="shared" si="9"/>
        <v>6086578.0200000005</v>
      </c>
      <c r="G22" s="39">
        <f t="shared" si="9"/>
        <v>1360104.7000000002</v>
      </c>
      <c r="H22" s="39">
        <f t="shared" si="9"/>
        <v>591966.9</v>
      </c>
      <c r="I22" s="39">
        <f t="shared" si="9"/>
        <v>1159778.5700000003</v>
      </c>
      <c r="J22" s="39">
        <f t="shared" si="9"/>
        <v>73187.26</v>
      </c>
      <c r="K22" s="39">
        <f t="shared" si="4"/>
        <v>281796.80000000016</v>
      </c>
      <c r="L22" s="39">
        <f t="shared" si="5"/>
        <v>-200326.1299999999</v>
      </c>
      <c r="M22" s="39">
        <f t="shared" si="6"/>
        <v>-4926799.45</v>
      </c>
      <c r="N22" s="39">
        <f t="shared" si="7"/>
        <v>-518779.64</v>
      </c>
      <c r="O22" s="40">
        <f t="shared" si="1"/>
        <v>1.3209597392893477</v>
      </c>
      <c r="P22" s="40">
        <f t="shared" si="2"/>
        <v>0.8527127139550361</v>
      </c>
      <c r="Q22" s="40">
        <f t="shared" si="3"/>
        <v>0.19054689945467918</v>
      </c>
    </row>
    <row r="23" spans="1:17" ht="31.5">
      <c r="A23" s="78" t="s">
        <v>38</v>
      </c>
      <c r="B23" s="79" t="s">
        <v>104</v>
      </c>
      <c r="C23" s="63" t="s">
        <v>72</v>
      </c>
      <c r="D23" s="6" t="s">
        <v>145</v>
      </c>
      <c r="E23" s="5">
        <v>16648.78</v>
      </c>
      <c r="F23" s="5">
        <f>135475.5+25225.6</f>
        <v>160701.1</v>
      </c>
      <c r="G23" s="5">
        <f>26900+4425</f>
        <v>31325</v>
      </c>
      <c r="H23" s="5">
        <f>11200+4425</f>
        <v>15625</v>
      </c>
      <c r="I23" s="10">
        <v>24025.93</v>
      </c>
      <c r="J23" s="10">
        <v>1974.8600000000001</v>
      </c>
      <c r="K23" s="7">
        <f t="shared" si="4"/>
        <v>7377.1500000000015</v>
      </c>
      <c r="L23" s="7">
        <f t="shared" si="5"/>
        <v>-7299.07</v>
      </c>
      <c r="M23" s="7">
        <f t="shared" si="6"/>
        <v>-136675.17</v>
      </c>
      <c r="N23" s="7">
        <f t="shared" si="7"/>
        <v>-13650.14</v>
      </c>
      <c r="O23" s="33">
        <f t="shared" si="1"/>
        <v>1.443104539792105</v>
      </c>
      <c r="P23" s="33">
        <f t="shared" si="2"/>
        <v>0.7669889864325619</v>
      </c>
      <c r="Q23" s="33">
        <f t="shared" si="3"/>
        <v>0.1495069417695336</v>
      </c>
    </row>
    <row r="24" spans="1:17" ht="15.75">
      <c r="A24" s="94"/>
      <c r="B24" s="96"/>
      <c r="C24" s="61" t="s">
        <v>42</v>
      </c>
      <c r="D24" s="6" t="s">
        <v>43</v>
      </c>
      <c r="E24" s="3"/>
      <c r="F24" s="5">
        <v>31937.8</v>
      </c>
      <c r="G24" s="5">
        <f>H24</f>
        <v>0</v>
      </c>
      <c r="H24" s="5">
        <v>0</v>
      </c>
      <c r="I24" s="7">
        <v>0</v>
      </c>
      <c r="J24" s="7">
        <v>0</v>
      </c>
      <c r="K24" s="5">
        <f t="shared" si="4"/>
        <v>0</v>
      </c>
      <c r="L24" s="5">
        <f t="shared" si="5"/>
        <v>0</v>
      </c>
      <c r="M24" s="5">
        <f t="shared" si="6"/>
        <v>-31937.8</v>
      </c>
      <c r="N24" s="5">
        <f t="shared" si="7"/>
        <v>0</v>
      </c>
      <c r="O24" s="33">
        <f t="shared" si="1"/>
      </c>
      <c r="P24" s="33">
        <f t="shared" si="2"/>
      </c>
      <c r="Q24" s="33">
        <f t="shared" si="3"/>
        <v>0</v>
      </c>
    </row>
    <row r="25" spans="1:17" ht="15.75">
      <c r="A25" s="94"/>
      <c r="B25" s="96"/>
      <c r="C25" s="61" t="s">
        <v>73</v>
      </c>
      <c r="D25" s="6" t="s">
        <v>74</v>
      </c>
      <c r="E25" s="3">
        <v>10117.200000000003</v>
      </c>
      <c r="F25" s="5">
        <f>110819.4+14383.9</f>
        <v>125203.29999999999</v>
      </c>
      <c r="G25" s="5">
        <f>20450+1500</f>
        <v>21950</v>
      </c>
      <c r="H25" s="5">
        <f>7600+1500</f>
        <v>9100</v>
      </c>
      <c r="I25" s="3">
        <v>16820.109999999997</v>
      </c>
      <c r="J25" s="3">
        <v>1035.51</v>
      </c>
      <c r="K25" s="7">
        <f t="shared" si="4"/>
        <v>6702.909999999994</v>
      </c>
      <c r="L25" s="7">
        <f t="shared" si="5"/>
        <v>-5129.890000000003</v>
      </c>
      <c r="M25" s="7">
        <f t="shared" si="6"/>
        <v>-108383.18999999999</v>
      </c>
      <c r="N25" s="7">
        <f t="shared" si="7"/>
        <v>-8064.49</v>
      </c>
      <c r="O25" s="33">
        <f t="shared" si="1"/>
        <v>1.6625261930178303</v>
      </c>
      <c r="P25" s="33">
        <f t="shared" si="2"/>
        <v>0.7662920273348518</v>
      </c>
      <c r="Q25" s="33">
        <f t="shared" si="3"/>
        <v>0.13434238554415098</v>
      </c>
    </row>
    <row r="26" spans="1:17" ht="15.75">
      <c r="A26" s="95"/>
      <c r="B26" s="97"/>
      <c r="C26" s="62"/>
      <c r="D26" s="45" t="s">
        <v>11</v>
      </c>
      <c r="E26" s="26">
        <f aca="true" t="shared" si="10" ref="E26:J26">SUM(E23:E25)</f>
        <v>26765.980000000003</v>
      </c>
      <c r="F26" s="26">
        <f t="shared" si="10"/>
        <v>317842.19999999995</v>
      </c>
      <c r="G26" s="26">
        <f t="shared" si="10"/>
        <v>53275</v>
      </c>
      <c r="H26" s="26">
        <f t="shared" si="10"/>
        <v>24725</v>
      </c>
      <c r="I26" s="26">
        <f t="shared" si="10"/>
        <v>40846.03999999999</v>
      </c>
      <c r="J26" s="26">
        <f t="shared" si="10"/>
        <v>3010.37</v>
      </c>
      <c r="K26" s="26">
        <f t="shared" si="4"/>
        <v>14080.05999999999</v>
      </c>
      <c r="L26" s="26">
        <f t="shared" si="5"/>
        <v>-12428.960000000006</v>
      </c>
      <c r="M26" s="26">
        <f t="shared" si="6"/>
        <v>-276996.16</v>
      </c>
      <c r="N26" s="26">
        <f t="shared" si="7"/>
        <v>-21714.63</v>
      </c>
      <c r="O26" s="47">
        <f t="shared" si="1"/>
        <v>1.5260431338587261</v>
      </c>
      <c r="P26" s="47">
        <f t="shared" si="2"/>
        <v>0.766701830126701</v>
      </c>
      <c r="Q26" s="47">
        <f t="shared" si="3"/>
        <v>0.12851043694009165</v>
      </c>
    </row>
    <row r="27" spans="1:17" ht="31.5">
      <c r="A27" s="74">
        <v>951</v>
      </c>
      <c r="B27" s="74" t="s">
        <v>13</v>
      </c>
      <c r="C27" s="63" t="s">
        <v>118</v>
      </c>
      <c r="D27" s="8" t="s">
        <v>45</v>
      </c>
      <c r="E27" s="5">
        <v>11476.17</v>
      </c>
      <c r="F27" s="5">
        <v>91712.1</v>
      </c>
      <c r="G27" s="5">
        <v>18903</v>
      </c>
      <c r="H27" s="5">
        <v>11120</v>
      </c>
      <c r="I27" s="10">
        <v>9174.880000000001</v>
      </c>
      <c r="J27" s="10">
        <v>2050.24</v>
      </c>
      <c r="K27" s="5">
        <f t="shared" si="4"/>
        <v>-2301.289999999999</v>
      </c>
      <c r="L27" s="5">
        <f t="shared" si="5"/>
        <v>-9728.119999999999</v>
      </c>
      <c r="M27" s="5">
        <f t="shared" si="6"/>
        <v>-82537.22</v>
      </c>
      <c r="N27" s="5">
        <f t="shared" si="7"/>
        <v>-9069.76</v>
      </c>
      <c r="O27" s="33">
        <f t="shared" si="1"/>
        <v>0.7994722978136435</v>
      </c>
      <c r="P27" s="33">
        <f t="shared" si="2"/>
        <v>0.4853663439665662</v>
      </c>
      <c r="Q27" s="33">
        <f t="shared" si="3"/>
        <v>0.10004001652998896</v>
      </c>
    </row>
    <row r="28" spans="1:17" ht="15.75">
      <c r="A28" s="74"/>
      <c r="B28" s="74"/>
      <c r="C28" s="61" t="s">
        <v>117</v>
      </c>
      <c r="D28" s="6" t="s">
        <v>47</v>
      </c>
      <c r="E28" s="5">
        <v>1180.75</v>
      </c>
      <c r="F28" s="5">
        <v>14224.9</v>
      </c>
      <c r="G28" s="5">
        <v>642.3</v>
      </c>
      <c r="H28" s="5">
        <v>11.1</v>
      </c>
      <c r="I28" s="10">
        <v>-142.58</v>
      </c>
      <c r="J28" s="10">
        <v>0</v>
      </c>
      <c r="K28" s="5">
        <f t="shared" si="4"/>
        <v>-1323.33</v>
      </c>
      <c r="L28" s="5">
        <f t="shared" si="5"/>
        <v>-784.88</v>
      </c>
      <c r="M28" s="5">
        <f t="shared" si="6"/>
        <v>-14367.48</v>
      </c>
      <c r="N28" s="5">
        <f t="shared" si="7"/>
        <v>-11.1</v>
      </c>
      <c r="O28" s="33">
        <f t="shared" si="1"/>
        <v>-0.12075375820453103</v>
      </c>
      <c r="P28" s="33">
        <f t="shared" si="2"/>
        <v>-0.22198349680834503</v>
      </c>
      <c r="Q28" s="33">
        <f t="shared" si="3"/>
        <v>-0.01002326905637298</v>
      </c>
    </row>
    <row r="29" spans="1:17" ht="15.75">
      <c r="A29" s="74"/>
      <c r="B29" s="74"/>
      <c r="C29" s="62"/>
      <c r="D29" s="48" t="s">
        <v>11</v>
      </c>
      <c r="E29" s="26">
        <f aca="true" t="shared" si="11" ref="E29:J29">E27+E28</f>
        <v>12656.92</v>
      </c>
      <c r="F29" s="26">
        <f t="shared" si="11"/>
        <v>105937</v>
      </c>
      <c r="G29" s="26">
        <f t="shared" si="11"/>
        <v>19545.3</v>
      </c>
      <c r="H29" s="26">
        <f t="shared" si="11"/>
        <v>11131.1</v>
      </c>
      <c r="I29" s="26">
        <f t="shared" si="11"/>
        <v>9032.300000000001</v>
      </c>
      <c r="J29" s="26">
        <f t="shared" si="11"/>
        <v>2050.24</v>
      </c>
      <c r="K29" s="26">
        <f t="shared" si="4"/>
        <v>-3624.619999999999</v>
      </c>
      <c r="L29" s="26">
        <f t="shared" si="5"/>
        <v>-10512.999999999998</v>
      </c>
      <c r="M29" s="26">
        <f t="shared" si="6"/>
        <v>-96904.7</v>
      </c>
      <c r="N29" s="26">
        <f t="shared" si="7"/>
        <v>-9080.86</v>
      </c>
      <c r="O29" s="47">
        <f t="shared" si="1"/>
        <v>0.7136254317796116</v>
      </c>
      <c r="P29" s="47">
        <f t="shared" si="2"/>
        <v>0.4621213284012014</v>
      </c>
      <c r="Q29" s="47">
        <f t="shared" si="3"/>
        <v>0.08526105137959354</v>
      </c>
    </row>
    <row r="30" spans="1:17" ht="15.75">
      <c r="A30" s="90" t="s">
        <v>48</v>
      </c>
      <c r="B30" s="74" t="s">
        <v>49</v>
      </c>
      <c r="C30" s="61" t="s">
        <v>50</v>
      </c>
      <c r="D30" s="6" t="s">
        <v>51</v>
      </c>
      <c r="E30" s="3"/>
      <c r="F30" s="3">
        <v>496</v>
      </c>
      <c r="G30" s="3">
        <f>H30</f>
        <v>0</v>
      </c>
      <c r="H30" s="3">
        <v>0</v>
      </c>
      <c r="I30" s="3">
        <v>0</v>
      </c>
      <c r="J30" s="3">
        <v>0</v>
      </c>
      <c r="K30" s="3">
        <f t="shared" si="4"/>
        <v>0</v>
      </c>
      <c r="L30" s="3">
        <f t="shared" si="5"/>
        <v>0</v>
      </c>
      <c r="M30" s="3">
        <f t="shared" si="6"/>
        <v>-496</v>
      </c>
      <c r="N30" s="3">
        <f t="shared" si="7"/>
        <v>0</v>
      </c>
      <c r="O30" s="33">
        <f t="shared" si="1"/>
      </c>
      <c r="P30" s="33">
        <f t="shared" si="2"/>
      </c>
      <c r="Q30" s="33">
        <f t="shared" si="3"/>
        <v>0</v>
      </c>
    </row>
    <row r="31" spans="1:17" ht="15.75">
      <c r="A31" s="90"/>
      <c r="B31" s="74"/>
      <c r="C31" s="61" t="s">
        <v>52</v>
      </c>
      <c r="D31" s="9" t="s">
        <v>53</v>
      </c>
      <c r="E31" s="3">
        <v>13891.87</v>
      </c>
      <c r="F31" s="3">
        <v>100081.7</v>
      </c>
      <c r="G31" s="3">
        <v>21000</v>
      </c>
      <c r="H31" s="3">
        <v>8500</v>
      </c>
      <c r="I31" s="3">
        <v>15855.869999999999</v>
      </c>
      <c r="J31" s="3">
        <v>1164.47</v>
      </c>
      <c r="K31" s="3">
        <f t="shared" si="4"/>
        <v>1963.9999999999982</v>
      </c>
      <c r="L31" s="3">
        <f t="shared" si="5"/>
        <v>-5144.130000000001</v>
      </c>
      <c r="M31" s="3">
        <f t="shared" si="6"/>
        <v>-84225.83</v>
      </c>
      <c r="N31" s="3">
        <f t="shared" si="7"/>
        <v>-7335.53</v>
      </c>
      <c r="O31" s="33">
        <f t="shared" si="1"/>
        <v>1.141377654700195</v>
      </c>
      <c r="P31" s="33">
        <f t="shared" si="2"/>
        <v>0.7550414285714285</v>
      </c>
      <c r="Q31" s="33">
        <f t="shared" si="3"/>
        <v>0.15842926329189053</v>
      </c>
    </row>
    <row r="32" spans="1:17" ht="15.75">
      <c r="A32" s="90"/>
      <c r="B32" s="74"/>
      <c r="C32" s="63" t="s">
        <v>44</v>
      </c>
      <c r="D32" s="8" t="s">
        <v>54</v>
      </c>
      <c r="E32" s="3">
        <v>110.08</v>
      </c>
      <c r="F32" s="3">
        <v>557</v>
      </c>
      <c r="G32" s="3">
        <v>139.2</v>
      </c>
      <c r="H32" s="3">
        <v>46.4</v>
      </c>
      <c r="I32" s="3">
        <v>1762.03</v>
      </c>
      <c r="J32" s="3">
        <v>0</v>
      </c>
      <c r="K32" s="3">
        <f t="shared" si="4"/>
        <v>1651.95</v>
      </c>
      <c r="L32" s="3">
        <f t="shared" si="5"/>
        <v>1622.83</v>
      </c>
      <c r="M32" s="3">
        <f t="shared" si="6"/>
        <v>1205.03</v>
      </c>
      <c r="N32" s="3">
        <f t="shared" si="7"/>
        <v>-46.4</v>
      </c>
      <c r="O32" s="33">
        <f t="shared" si="1"/>
        <v>16.006813226744185</v>
      </c>
      <c r="P32" s="33">
        <f t="shared" si="2"/>
        <v>12.658261494252875</v>
      </c>
      <c r="Q32" s="33">
        <f t="shared" si="3"/>
        <v>3.1634290843806103</v>
      </c>
    </row>
    <row r="33" spans="1:17" ht="15.75">
      <c r="A33" s="90"/>
      <c r="B33" s="74"/>
      <c r="C33" s="63" t="s">
        <v>55</v>
      </c>
      <c r="D33" s="8" t="s">
        <v>56</v>
      </c>
      <c r="E33" s="5">
        <f aca="true" t="shared" si="12" ref="E33:J33">E34+E36+E35</f>
        <v>9349.84</v>
      </c>
      <c r="F33" s="5">
        <f t="shared" si="12"/>
        <v>171171.1</v>
      </c>
      <c r="G33" s="5">
        <f t="shared" si="12"/>
        <v>98514.00000000001</v>
      </c>
      <c r="H33" s="5">
        <f t="shared" si="12"/>
        <v>91778.70000000001</v>
      </c>
      <c r="I33" s="5">
        <f t="shared" si="12"/>
        <v>129359.07999999999</v>
      </c>
      <c r="J33" s="5">
        <f t="shared" si="12"/>
        <v>1074.96</v>
      </c>
      <c r="K33" s="10">
        <f t="shared" si="4"/>
        <v>120009.23999999999</v>
      </c>
      <c r="L33" s="10">
        <f t="shared" si="5"/>
        <v>30845.079999999973</v>
      </c>
      <c r="M33" s="10">
        <f t="shared" si="6"/>
        <v>-41812.02000000002</v>
      </c>
      <c r="N33" s="10">
        <f t="shared" si="7"/>
        <v>-90703.74</v>
      </c>
      <c r="O33" s="33">
        <f t="shared" si="1"/>
        <v>13.835432477988926</v>
      </c>
      <c r="P33" s="33">
        <f t="shared" si="2"/>
        <v>1.3131035182816653</v>
      </c>
      <c r="Q33" s="33">
        <f t="shared" si="3"/>
        <v>0.7557296763297074</v>
      </c>
    </row>
    <row r="34" spans="1:17" ht="15.75">
      <c r="A34" s="90"/>
      <c r="B34" s="74"/>
      <c r="C34" s="64" t="s">
        <v>120</v>
      </c>
      <c r="D34" s="11" t="s">
        <v>57</v>
      </c>
      <c r="E34" s="12">
        <v>3186.83</v>
      </c>
      <c r="F34" s="12">
        <v>48594.6</v>
      </c>
      <c r="G34" s="12">
        <v>3862.8</v>
      </c>
      <c r="H34" s="12">
        <v>1510</v>
      </c>
      <c r="I34" s="12">
        <v>122113.01</v>
      </c>
      <c r="J34" s="12">
        <v>0</v>
      </c>
      <c r="K34" s="12">
        <f t="shared" si="4"/>
        <v>118926.18</v>
      </c>
      <c r="L34" s="12">
        <f t="shared" si="5"/>
        <v>118250.20999999999</v>
      </c>
      <c r="M34" s="12">
        <f t="shared" si="6"/>
        <v>73518.41</v>
      </c>
      <c r="N34" s="12">
        <f t="shared" si="7"/>
        <v>-1510</v>
      </c>
      <c r="O34" s="33">
        <f t="shared" si="1"/>
        <v>38.31801821873147</v>
      </c>
      <c r="P34" s="33">
        <f t="shared" si="2"/>
        <v>31.612563425494457</v>
      </c>
      <c r="Q34" s="33">
        <f t="shared" si="3"/>
        <v>2.5128925847727936</v>
      </c>
    </row>
    <row r="35" spans="1:17" ht="15.75">
      <c r="A35" s="90"/>
      <c r="B35" s="74"/>
      <c r="C35" s="64" t="s">
        <v>121</v>
      </c>
      <c r="D35" s="11" t="s">
        <v>58</v>
      </c>
      <c r="E35" s="12">
        <v>106.51</v>
      </c>
      <c r="F35" s="12">
        <v>1867.8</v>
      </c>
      <c r="G35" s="12">
        <v>160.3</v>
      </c>
      <c r="H35" s="12">
        <v>160.3</v>
      </c>
      <c r="I35" s="12">
        <v>560</v>
      </c>
      <c r="J35" s="12">
        <v>0</v>
      </c>
      <c r="K35" s="12">
        <f t="shared" si="4"/>
        <v>453.49</v>
      </c>
      <c r="L35" s="12">
        <f t="shared" si="5"/>
        <v>399.7</v>
      </c>
      <c r="M35" s="12">
        <f t="shared" si="6"/>
        <v>-1307.8</v>
      </c>
      <c r="N35" s="12">
        <f t="shared" si="7"/>
        <v>-160.3</v>
      </c>
      <c r="O35" s="33">
        <f t="shared" si="1"/>
        <v>5.25772227959816</v>
      </c>
      <c r="P35" s="33">
        <f t="shared" si="2"/>
        <v>3.4934497816593884</v>
      </c>
      <c r="Q35" s="33">
        <f t="shared" si="3"/>
        <v>0.29981796766249064</v>
      </c>
    </row>
    <row r="36" spans="1:17" ht="15.75">
      <c r="A36" s="90"/>
      <c r="B36" s="74"/>
      <c r="C36" s="64" t="s">
        <v>119</v>
      </c>
      <c r="D36" s="11" t="s">
        <v>59</v>
      </c>
      <c r="E36" s="26">
        <v>6056.5</v>
      </c>
      <c r="F36" s="5">
        <f>35078.4+85630.3</f>
        <v>120708.70000000001</v>
      </c>
      <c r="G36" s="5">
        <f>8860.6+85630.3</f>
        <v>94490.90000000001</v>
      </c>
      <c r="H36" s="5">
        <f>4478.1+85630.3</f>
        <v>90108.40000000001</v>
      </c>
      <c r="I36" s="26">
        <v>6686.07</v>
      </c>
      <c r="J36" s="12">
        <v>1074.96</v>
      </c>
      <c r="K36" s="12">
        <f t="shared" si="4"/>
        <v>629.5699999999997</v>
      </c>
      <c r="L36" s="12">
        <f t="shared" si="5"/>
        <v>-87804.83000000002</v>
      </c>
      <c r="M36" s="12">
        <f t="shared" si="6"/>
        <v>-114022.63</v>
      </c>
      <c r="N36" s="12">
        <f t="shared" si="7"/>
        <v>-89033.44</v>
      </c>
      <c r="O36" s="33">
        <f t="shared" si="1"/>
        <v>1.103949475769834</v>
      </c>
      <c r="P36" s="33">
        <f t="shared" si="2"/>
        <v>0.07075887730987851</v>
      </c>
      <c r="Q36" s="33">
        <f t="shared" si="3"/>
        <v>0.055390125152536634</v>
      </c>
    </row>
    <row r="37" spans="1:17" ht="15.75">
      <c r="A37" s="90"/>
      <c r="B37" s="90"/>
      <c r="C37" s="62"/>
      <c r="D37" s="48" t="s">
        <v>11</v>
      </c>
      <c r="E37" s="26">
        <f aca="true" t="shared" si="13" ref="E37:J37">SUM(E30:E33)</f>
        <v>23351.79</v>
      </c>
      <c r="F37" s="26">
        <f t="shared" si="13"/>
        <v>272305.8</v>
      </c>
      <c r="G37" s="26">
        <f t="shared" si="13"/>
        <v>119653.20000000001</v>
      </c>
      <c r="H37" s="26">
        <f t="shared" si="13"/>
        <v>100325.1</v>
      </c>
      <c r="I37" s="26">
        <f t="shared" si="13"/>
        <v>146976.97999999998</v>
      </c>
      <c r="J37" s="26">
        <f t="shared" si="13"/>
        <v>2239.4300000000003</v>
      </c>
      <c r="K37" s="26">
        <f t="shared" si="4"/>
        <v>123625.18999999997</v>
      </c>
      <c r="L37" s="26">
        <f t="shared" si="5"/>
        <v>27323.77999999997</v>
      </c>
      <c r="M37" s="26">
        <f t="shared" si="6"/>
        <v>-125328.82</v>
      </c>
      <c r="N37" s="26">
        <f t="shared" si="7"/>
        <v>-98085.67000000001</v>
      </c>
      <c r="O37" s="47">
        <f aca="true" t="shared" si="14" ref="O37:O62">_xlfn.IFERROR(I37/E37,"")</f>
        <v>6.2940348470074445</v>
      </c>
      <c r="P37" s="47">
        <f aca="true" t="shared" si="15" ref="P37:P62">_xlfn.IFERROR(I37/G37,"")</f>
        <v>1.2283581216382007</v>
      </c>
      <c r="Q37" s="47">
        <f aca="true" t="shared" si="16" ref="Q37:Q62">_xlfn.IFERROR(I37/F37,"")</f>
        <v>0.5397497225545691</v>
      </c>
    </row>
    <row r="38" spans="1:17" ht="31.5">
      <c r="A38" s="90" t="s">
        <v>103</v>
      </c>
      <c r="B38" s="74" t="s">
        <v>21</v>
      </c>
      <c r="C38" s="63" t="s">
        <v>132</v>
      </c>
      <c r="D38" s="8" t="s">
        <v>61</v>
      </c>
      <c r="E38" s="5">
        <v>63739.57</v>
      </c>
      <c r="F38" s="5">
        <v>326627.4</v>
      </c>
      <c r="G38" s="5">
        <v>94600.5</v>
      </c>
      <c r="H38" s="5">
        <v>40000</v>
      </c>
      <c r="I38" s="5">
        <v>66030.63</v>
      </c>
      <c r="J38" s="5">
        <v>2845.23</v>
      </c>
      <c r="K38" s="10">
        <f t="shared" si="4"/>
        <v>2291.060000000005</v>
      </c>
      <c r="L38" s="10">
        <f t="shared" si="5"/>
        <v>-28569.869999999995</v>
      </c>
      <c r="M38" s="10">
        <f t="shared" si="6"/>
        <v>-260596.77000000002</v>
      </c>
      <c r="N38" s="10">
        <f t="shared" si="7"/>
        <v>-37154.77</v>
      </c>
      <c r="O38" s="33">
        <f t="shared" si="14"/>
        <v>1.0359440768113122</v>
      </c>
      <c r="P38" s="33">
        <f t="shared" si="15"/>
        <v>0.6979945137710689</v>
      </c>
      <c r="Q38" s="33">
        <f t="shared" si="16"/>
        <v>0.20215888195540238</v>
      </c>
    </row>
    <row r="39" spans="1:17" ht="31.5">
      <c r="A39" s="90"/>
      <c r="B39" s="74"/>
      <c r="C39" s="63" t="s">
        <v>130</v>
      </c>
      <c r="D39" s="8" t="s">
        <v>62</v>
      </c>
      <c r="E39" s="5">
        <v>-5430.38</v>
      </c>
      <c r="F39" s="5">
        <f>245061.4+9204.6</f>
        <v>254266</v>
      </c>
      <c r="G39" s="5">
        <v>43700</v>
      </c>
      <c r="H39" s="5">
        <v>24300</v>
      </c>
      <c r="I39" s="5">
        <v>35770.909999999996</v>
      </c>
      <c r="J39" s="5">
        <v>11386.169999999998</v>
      </c>
      <c r="K39" s="10">
        <f t="shared" si="4"/>
        <v>41201.28999999999</v>
      </c>
      <c r="L39" s="10">
        <f t="shared" si="5"/>
        <v>-7929.090000000004</v>
      </c>
      <c r="M39" s="10">
        <f t="shared" si="6"/>
        <v>-218495.09</v>
      </c>
      <c r="N39" s="10">
        <f t="shared" si="7"/>
        <v>-12913.830000000002</v>
      </c>
      <c r="O39" s="33">
        <f t="shared" si="14"/>
        <v>-6.587183585679086</v>
      </c>
      <c r="P39" s="33">
        <f t="shared" si="15"/>
        <v>0.8185562929061784</v>
      </c>
      <c r="Q39" s="33">
        <f t="shared" si="16"/>
        <v>0.1406830248637254</v>
      </c>
    </row>
    <row r="40" spans="1:17" ht="31.5">
      <c r="A40" s="90"/>
      <c r="B40" s="74"/>
      <c r="C40" s="61" t="s">
        <v>135</v>
      </c>
      <c r="D40" s="6" t="s">
        <v>63</v>
      </c>
      <c r="E40" s="5">
        <v>8911.65</v>
      </c>
      <c r="F40" s="5">
        <f>48566.2-5534.78</f>
        <v>43031.42</v>
      </c>
      <c r="G40" s="5">
        <f>13800-2460</f>
        <v>11340</v>
      </c>
      <c r="H40" s="5">
        <f>6400-2460</f>
        <v>3940</v>
      </c>
      <c r="I40" s="5">
        <v>6903.25</v>
      </c>
      <c r="J40" s="5">
        <v>325.16</v>
      </c>
      <c r="K40" s="5">
        <f t="shared" si="4"/>
        <v>-2008.3999999999996</v>
      </c>
      <c r="L40" s="5">
        <f t="shared" si="5"/>
        <v>-4436.75</v>
      </c>
      <c r="M40" s="5">
        <f t="shared" si="6"/>
        <v>-36128.17</v>
      </c>
      <c r="N40" s="5">
        <f t="shared" si="7"/>
        <v>-3614.84</v>
      </c>
      <c r="O40" s="33">
        <f t="shared" si="14"/>
        <v>0.774632082723177</v>
      </c>
      <c r="P40" s="33">
        <f t="shared" si="15"/>
        <v>0.6087522045855379</v>
      </c>
      <c r="Q40" s="33">
        <f t="shared" si="16"/>
        <v>0.16042347661313525</v>
      </c>
    </row>
    <row r="41" spans="1:17" ht="31.5">
      <c r="A41" s="90"/>
      <c r="B41" s="74"/>
      <c r="C41" s="61" t="s">
        <v>108</v>
      </c>
      <c r="D41" s="6" t="s">
        <v>109</v>
      </c>
      <c r="E41" s="5">
        <v>1301.72</v>
      </c>
      <c r="F41" s="5">
        <v>2948.3</v>
      </c>
      <c r="G41" s="5">
        <v>1412.3</v>
      </c>
      <c r="H41" s="5">
        <v>1412.3</v>
      </c>
      <c r="I41" s="5">
        <v>1527.41</v>
      </c>
      <c r="J41" s="5">
        <v>35.4</v>
      </c>
      <c r="K41" s="5">
        <f t="shared" si="4"/>
        <v>225.69000000000005</v>
      </c>
      <c r="L41" s="5">
        <f t="shared" si="5"/>
        <v>115.11000000000013</v>
      </c>
      <c r="M41" s="5">
        <f t="shared" si="6"/>
        <v>-1420.89</v>
      </c>
      <c r="N41" s="5">
        <f t="shared" si="7"/>
        <v>-1376.8999999999999</v>
      </c>
      <c r="O41" s="33">
        <f t="shared" si="14"/>
        <v>1.1733782994806872</v>
      </c>
      <c r="P41" s="33">
        <f t="shared" si="15"/>
        <v>1.0815053458896835</v>
      </c>
      <c r="Q41" s="33">
        <f t="shared" si="16"/>
        <v>0.5180646474239392</v>
      </c>
    </row>
    <row r="42" spans="1:17" ht="15.75">
      <c r="A42" s="90"/>
      <c r="B42" s="74"/>
      <c r="C42" s="61" t="s">
        <v>123</v>
      </c>
      <c r="D42" s="13" t="s">
        <v>122</v>
      </c>
      <c r="E42" s="5">
        <v>56.27</v>
      </c>
      <c r="F42" s="5"/>
      <c r="G42" s="5"/>
      <c r="H42" s="5"/>
      <c r="I42" s="5">
        <v>10.63</v>
      </c>
      <c r="J42" s="5">
        <v>0</v>
      </c>
      <c r="K42" s="5">
        <f t="shared" si="4"/>
        <v>-45.64</v>
      </c>
      <c r="L42" s="5">
        <f t="shared" si="5"/>
        <v>10.63</v>
      </c>
      <c r="M42" s="5">
        <f t="shared" si="6"/>
        <v>10.63</v>
      </c>
      <c r="N42" s="5">
        <f t="shared" si="7"/>
        <v>0</v>
      </c>
      <c r="O42" s="33">
        <f t="shared" si="14"/>
        <v>0.18891060956104497</v>
      </c>
      <c r="P42" s="33">
        <f t="shared" si="15"/>
      </c>
      <c r="Q42" s="33">
        <f t="shared" si="16"/>
      </c>
    </row>
    <row r="43" spans="1:17" ht="47.25">
      <c r="A43" s="90"/>
      <c r="B43" s="74"/>
      <c r="C43" s="63" t="s">
        <v>64</v>
      </c>
      <c r="D43" s="8" t="s">
        <v>65</v>
      </c>
      <c r="E43" s="5">
        <v>28649.49</v>
      </c>
      <c r="F43" s="3">
        <v>104142</v>
      </c>
      <c r="G43" s="3">
        <v>15840</v>
      </c>
      <c r="H43" s="3">
        <v>8000</v>
      </c>
      <c r="I43" s="5">
        <v>45213.7</v>
      </c>
      <c r="J43" s="5">
        <v>3936.59</v>
      </c>
      <c r="K43" s="3">
        <f t="shared" si="4"/>
        <v>16564.209999999995</v>
      </c>
      <c r="L43" s="3">
        <f t="shared" si="5"/>
        <v>29373.699999999997</v>
      </c>
      <c r="M43" s="3">
        <f t="shared" si="6"/>
        <v>-58928.3</v>
      </c>
      <c r="N43" s="3">
        <f t="shared" si="7"/>
        <v>-4063.41</v>
      </c>
      <c r="O43" s="33">
        <f t="shared" si="14"/>
        <v>1.5781677090935997</v>
      </c>
      <c r="P43" s="33">
        <f t="shared" si="15"/>
        <v>2.8544002525252523</v>
      </c>
      <c r="Q43" s="33">
        <f t="shared" si="16"/>
        <v>0.43415432774480994</v>
      </c>
    </row>
    <row r="44" spans="1:17" ht="31.5">
      <c r="A44" s="90"/>
      <c r="B44" s="74"/>
      <c r="C44" s="63" t="s">
        <v>66</v>
      </c>
      <c r="D44" s="8" t="s">
        <v>67</v>
      </c>
      <c r="E44" s="3">
        <v>13029.71</v>
      </c>
      <c r="F44" s="3">
        <v>45272.2</v>
      </c>
      <c r="G44" s="3">
        <v>5400</v>
      </c>
      <c r="H44" s="3">
        <v>2200</v>
      </c>
      <c r="I44" s="3">
        <v>12748.210000000001</v>
      </c>
      <c r="J44" s="3">
        <v>47.94</v>
      </c>
      <c r="K44" s="3">
        <f t="shared" si="4"/>
        <v>-281.4999999999982</v>
      </c>
      <c r="L44" s="3">
        <f t="shared" si="5"/>
        <v>7348.210000000001</v>
      </c>
      <c r="M44" s="3">
        <f t="shared" si="6"/>
        <v>-32523.989999999998</v>
      </c>
      <c r="N44" s="3">
        <f t="shared" si="7"/>
        <v>-2152.06</v>
      </c>
      <c r="O44" s="33">
        <f t="shared" si="14"/>
        <v>0.9783955283732333</v>
      </c>
      <c r="P44" s="33">
        <f t="shared" si="15"/>
        <v>2.3607796296296297</v>
      </c>
      <c r="Q44" s="33">
        <f t="shared" si="16"/>
        <v>0.28159024743661676</v>
      </c>
    </row>
    <row r="45" spans="1:17" ht="15.75">
      <c r="A45" s="90"/>
      <c r="B45" s="90"/>
      <c r="C45" s="65"/>
      <c r="D45" s="48" t="s">
        <v>11</v>
      </c>
      <c r="E45" s="26">
        <f aca="true" t="shared" si="17" ref="E45:J45">SUM(E38:E44)</f>
        <v>110258.03</v>
      </c>
      <c r="F45" s="26">
        <f t="shared" si="17"/>
        <v>776287.3200000001</v>
      </c>
      <c r="G45" s="26">
        <f t="shared" si="17"/>
        <v>172292.8</v>
      </c>
      <c r="H45" s="26">
        <f t="shared" si="17"/>
        <v>79852.3</v>
      </c>
      <c r="I45" s="26">
        <f t="shared" si="17"/>
        <v>168204.74000000002</v>
      </c>
      <c r="J45" s="26">
        <f t="shared" si="17"/>
        <v>18576.489999999994</v>
      </c>
      <c r="K45" s="26">
        <f t="shared" si="4"/>
        <v>57946.71000000002</v>
      </c>
      <c r="L45" s="26">
        <f t="shared" si="5"/>
        <v>-4088.0599999999686</v>
      </c>
      <c r="M45" s="26">
        <f t="shared" si="6"/>
        <v>-608082.5800000001</v>
      </c>
      <c r="N45" s="26">
        <f t="shared" si="7"/>
        <v>-61275.81000000001</v>
      </c>
      <c r="O45" s="33">
        <f t="shared" si="14"/>
        <v>1.5255554629445132</v>
      </c>
      <c r="P45" s="33">
        <f t="shared" si="15"/>
        <v>0.9762726010605204</v>
      </c>
      <c r="Q45" s="33">
        <f t="shared" si="16"/>
        <v>0.21667845869233057</v>
      </c>
    </row>
    <row r="46" spans="1:17" ht="15.75">
      <c r="A46" s="90" t="s">
        <v>68</v>
      </c>
      <c r="B46" s="74" t="s">
        <v>69</v>
      </c>
      <c r="C46" s="61" t="s">
        <v>42</v>
      </c>
      <c r="D46" s="6" t="s">
        <v>43</v>
      </c>
      <c r="E46" s="3"/>
      <c r="F46" s="3">
        <v>4487</v>
      </c>
      <c r="G46" s="3">
        <f>H46</f>
        <v>0</v>
      </c>
      <c r="H46" s="3">
        <v>0</v>
      </c>
      <c r="I46" s="3">
        <v>0</v>
      </c>
      <c r="J46" s="3">
        <v>0</v>
      </c>
      <c r="K46" s="7">
        <f t="shared" si="4"/>
        <v>0</v>
      </c>
      <c r="L46" s="7">
        <f t="shared" si="5"/>
        <v>0</v>
      </c>
      <c r="M46" s="7">
        <f t="shared" si="6"/>
        <v>-4487</v>
      </c>
      <c r="N46" s="7">
        <f t="shared" si="7"/>
        <v>0</v>
      </c>
      <c r="O46" s="33">
        <f t="shared" si="14"/>
      </c>
      <c r="P46" s="33">
        <f t="shared" si="15"/>
      </c>
      <c r="Q46" s="33">
        <f t="shared" si="16"/>
        <v>0</v>
      </c>
    </row>
    <row r="47" spans="1:17" ht="15.75">
      <c r="A47" s="90"/>
      <c r="B47" s="74"/>
      <c r="C47" s="65"/>
      <c r="D47" s="48" t="s">
        <v>11</v>
      </c>
      <c r="E47" s="26">
        <f aca="true" t="shared" si="18" ref="E47:J47">SUM(E46:E46)</f>
        <v>0</v>
      </c>
      <c r="F47" s="26">
        <f t="shared" si="18"/>
        <v>4487</v>
      </c>
      <c r="G47" s="26">
        <f t="shared" si="18"/>
        <v>0</v>
      </c>
      <c r="H47" s="26">
        <f t="shared" si="18"/>
        <v>0</v>
      </c>
      <c r="I47" s="26">
        <f t="shared" si="18"/>
        <v>0</v>
      </c>
      <c r="J47" s="26">
        <f t="shared" si="18"/>
        <v>0</v>
      </c>
      <c r="K47" s="49">
        <f t="shared" si="4"/>
        <v>0</v>
      </c>
      <c r="L47" s="49">
        <f t="shared" si="5"/>
        <v>0</v>
      </c>
      <c r="M47" s="49">
        <f t="shared" si="6"/>
        <v>-4487</v>
      </c>
      <c r="N47" s="49">
        <f t="shared" si="7"/>
        <v>0</v>
      </c>
      <c r="O47" s="33">
        <f t="shared" si="14"/>
      </c>
      <c r="P47" s="33">
        <f t="shared" si="15"/>
      </c>
      <c r="Q47" s="33">
        <f t="shared" si="16"/>
        <v>0</v>
      </c>
    </row>
    <row r="48" spans="1:17" ht="15.75">
      <c r="A48" s="78" t="s">
        <v>71</v>
      </c>
      <c r="B48" s="79" t="s">
        <v>105</v>
      </c>
      <c r="C48" s="59" t="s">
        <v>113</v>
      </c>
      <c r="D48" s="14" t="s">
        <v>134</v>
      </c>
      <c r="E48" s="3">
        <v>66069.48</v>
      </c>
      <c r="F48" s="3">
        <v>537127.7</v>
      </c>
      <c r="G48" s="3">
        <v>122528.59999999999</v>
      </c>
      <c r="H48" s="3">
        <v>44219.6</v>
      </c>
      <c r="I48" s="3">
        <v>98644.48999999999</v>
      </c>
      <c r="J48" s="3">
        <v>4205.33</v>
      </c>
      <c r="K48" s="7">
        <f t="shared" si="4"/>
        <v>32575.009999999995</v>
      </c>
      <c r="L48" s="7">
        <f t="shared" si="5"/>
        <v>-23884.11</v>
      </c>
      <c r="M48" s="7">
        <f t="shared" si="6"/>
        <v>-438483.20999999996</v>
      </c>
      <c r="N48" s="7">
        <f t="shared" si="7"/>
        <v>-40014.27</v>
      </c>
      <c r="O48" s="33">
        <f t="shared" si="14"/>
        <v>1.4930417191114567</v>
      </c>
      <c r="P48" s="33">
        <f t="shared" si="15"/>
        <v>0.8050731829140299</v>
      </c>
      <c r="Q48" s="33">
        <f t="shared" si="16"/>
        <v>0.18365183921812261</v>
      </c>
    </row>
    <row r="49" spans="1:17" ht="15.75">
      <c r="A49" s="78"/>
      <c r="B49" s="79"/>
      <c r="C49" s="59" t="s">
        <v>114</v>
      </c>
      <c r="D49" s="14" t="s">
        <v>110</v>
      </c>
      <c r="E49" s="3">
        <v>52958.78</v>
      </c>
      <c r="F49" s="3">
        <v>354489</v>
      </c>
      <c r="G49" s="3">
        <v>92821.6</v>
      </c>
      <c r="H49" s="3">
        <v>30416.9</v>
      </c>
      <c r="I49" s="3">
        <v>60635.75</v>
      </c>
      <c r="J49" s="3">
        <v>2404.55</v>
      </c>
      <c r="K49" s="7">
        <f t="shared" si="4"/>
        <v>7676.970000000001</v>
      </c>
      <c r="L49" s="7">
        <f t="shared" si="5"/>
        <v>-32185.850000000006</v>
      </c>
      <c r="M49" s="7">
        <f t="shared" si="6"/>
        <v>-293853.25</v>
      </c>
      <c r="N49" s="7">
        <f t="shared" si="7"/>
        <v>-28012.350000000002</v>
      </c>
      <c r="O49" s="33">
        <f t="shared" si="14"/>
        <v>1.1449612321129754</v>
      </c>
      <c r="P49" s="33">
        <f t="shared" si="15"/>
        <v>0.6532504287795082</v>
      </c>
      <c r="Q49" s="33">
        <f t="shared" si="16"/>
        <v>0.1710511468621029</v>
      </c>
    </row>
    <row r="50" spans="1:17" ht="31.5">
      <c r="A50" s="78"/>
      <c r="B50" s="79"/>
      <c r="C50" s="59" t="s">
        <v>115</v>
      </c>
      <c r="D50" s="14" t="s">
        <v>111</v>
      </c>
      <c r="E50" s="3">
        <v>545873.02</v>
      </c>
      <c r="F50" s="5">
        <f>3510723.4+35171.1</f>
        <v>3545894.5</v>
      </c>
      <c r="G50" s="5">
        <v>746501.5</v>
      </c>
      <c r="H50" s="5">
        <v>285700.8</v>
      </c>
      <c r="I50" s="3">
        <v>592550.98</v>
      </c>
      <c r="J50" s="3">
        <v>35316.93</v>
      </c>
      <c r="K50" s="7">
        <f t="shared" si="4"/>
        <v>46677.95999999996</v>
      </c>
      <c r="L50" s="7">
        <f t="shared" si="5"/>
        <v>-153950.52000000002</v>
      </c>
      <c r="M50" s="7">
        <f t="shared" si="6"/>
        <v>-2953343.52</v>
      </c>
      <c r="N50" s="7">
        <f t="shared" si="7"/>
        <v>-250383.87</v>
      </c>
      <c r="O50" s="33">
        <f t="shared" si="14"/>
        <v>1.0855106559397274</v>
      </c>
      <c r="P50" s="33">
        <f t="shared" si="15"/>
        <v>0.7937706488198617</v>
      </c>
      <c r="Q50" s="33">
        <f t="shared" si="16"/>
        <v>0.1671090270734225</v>
      </c>
    </row>
    <row r="51" spans="1:17" ht="31.5">
      <c r="A51" s="78"/>
      <c r="B51" s="79"/>
      <c r="C51" s="59" t="s">
        <v>131</v>
      </c>
      <c r="D51" s="14" t="s">
        <v>112</v>
      </c>
      <c r="E51" s="3">
        <v>758.55</v>
      </c>
      <c r="F51" s="3"/>
      <c r="G51" s="3"/>
      <c r="H51" s="3"/>
      <c r="I51" s="3">
        <v>288.27</v>
      </c>
      <c r="J51" s="3">
        <v>52.519999999999996</v>
      </c>
      <c r="K51" s="7">
        <f t="shared" si="4"/>
        <v>-470.28</v>
      </c>
      <c r="L51" s="7">
        <f t="shared" si="5"/>
        <v>288.27</v>
      </c>
      <c r="M51" s="7">
        <f t="shared" si="6"/>
        <v>288.27</v>
      </c>
      <c r="N51" s="7">
        <f t="shared" si="7"/>
        <v>52.519999999999996</v>
      </c>
      <c r="O51" s="33">
        <f t="shared" si="14"/>
        <v>0.38002768439786433</v>
      </c>
      <c r="P51" s="33">
        <f t="shared" si="15"/>
      </c>
      <c r="Q51" s="33">
        <f t="shared" si="16"/>
      </c>
    </row>
    <row r="52" spans="1:17" ht="15.75">
      <c r="A52" s="78"/>
      <c r="B52" s="79"/>
      <c r="C52" s="66"/>
      <c r="D52" s="50" t="s">
        <v>11</v>
      </c>
      <c r="E52" s="26">
        <f aca="true" t="shared" si="19" ref="E52:J52">SUM(E48:E51)</f>
        <v>665659.8300000001</v>
      </c>
      <c r="F52" s="26">
        <f t="shared" si="19"/>
        <v>4437511.2</v>
      </c>
      <c r="G52" s="26">
        <f t="shared" si="19"/>
        <v>961851.7</v>
      </c>
      <c r="H52" s="26">
        <f t="shared" si="19"/>
        <v>360337.3</v>
      </c>
      <c r="I52" s="26">
        <f t="shared" si="19"/>
        <v>752119.49</v>
      </c>
      <c r="J52" s="26">
        <f t="shared" si="19"/>
        <v>41979.329999999994</v>
      </c>
      <c r="K52" s="26">
        <f t="shared" si="4"/>
        <v>86459.65999999992</v>
      </c>
      <c r="L52" s="26">
        <f t="shared" si="5"/>
        <v>-209732.20999999996</v>
      </c>
      <c r="M52" s="26">
        <f t="shared" si="6"/>
        <v>-3685391.71</v>
      </c>
      <c r="N52" s="26">
        <f t="shared" si="7"/>
        <v>-318357.97</v>
      </c>
      <c r="O52" s="33">
        <f t="shared" si="14"/>
        <v>1.1298856504530248</v>
      </c>
      <c r="P52" s="33">
        <f t="shared" si="15"/>
        <v>0.781949535463731</v>
      </c>
      <c r="Q52" s="33">
        <f t="shared" si="16"/>
        <v>0.16949128826987522</v>
      </c>
    </row>
    <row r="53" spans="1:17" ht="15.75">
      <c r="A53" s="80">
        <v>991</v>
      </c>
      <c r="B53" s="80" t="s">
        <v>75</v>
      </c>
      <c r="C53" s="63" t="s">
        <v>44</v>
      </c>
      <c r="D53" s="8" t="s">
        <v>76</v>
      </c>
      <c r="E53" s="5">
        <v>8765.14</v>
      </c>
      <c r="F53" s="5">
        <v>54298.2</v>
      </c>
      <c r="G53" s="5">
        <v>12500</v>
      </c>
      <c r="H53" s="5">
        <v>4500</v>
      </c>
      <c r="I53" s="5">
        <v>8825.57</v>
      </c>
      <c r="J53" s="5">
        <v>853.44</v>
      </c>
      <c r="K53" s="5">
        <f t="shared" si="4"/>
        <v>60.43000000000029</v>
      </c>
      <c r="L53" s="5">
        <f t="shared" si="5"/>
        <v>-3674.4300000000003</v>
      </c>
      <c r="M53" s="5">
        <f t="shared" si="6"/>
        <v>-45472.63</v>
      </c>
      <c r="N53" s="5">
        <f t="shared" si="7"/>
        <v>-3646.56</v>
      </c>
      <c r="O53" s="33">
        <f t="shared" si="14"/>
        <v>1.0068943565077113</v>
      </c>
      <c r="P53" s="33">
        <f t="shared" si="15"/>
        <v>0.7060455999999999</v>
      </c>
      <c r="Q53" s="33">
        <f t="shared" si="16"/>
        <v>0.16253890552541336</v>
      </c>
    </row>
    <row r="54" spans="1:17" ht="15.75">
      <c r="A54" s="80"/>
      <c r="B54" s="80"/>
      <c r="C54" s="61" t="s">
        <v>77</v>
      </c>
      <c r="D54" s="6" t="s">
        <v>78</v>
      </c>
      <c r="E54" s="5">
        <v>519</v>
      </c>
      <c r="F54" s="5"/>
      <c r="G54" s="5"/>
      <c r="H54" s="5"/>
      <c r="I54" s="5">
        <v>834.8</v>
      </c>
      <c r="J54" s="5">
        <v>834.8</v>
      </c>
      <c r="K54" s="5">
        <f t="shared" si="4"/>
        <v>315.79999999999995</v>
      </c>
      <c r="L54" s="5">
        <f t="shared" si="5"/>
        <v>834.8</v>
      </c>
      <c r="M54" s="5">
        <f t="shared" si="6"/>
        <v>834.8</v>
      </c>
      <c r="N54" s="5">
        <f t="shared" si="7"/>
        <v>834.8</v>
      </c>
      <c r="O54" s="33">
        <f t="shared" si="14"/>
        <v>1.6084778420038535</v>
      </c>
      <c r="P54" s="33">
        <f t="shared" si="15"/>
      </c>
      <c r="Q54" s="33">
        <f t="shared" si="16"/>
      </c>
    </row>
    <row r="55" spans="1:17" ht="15.75">
      <c r="A55" s="80"/>
      <c r="B55" s="80"/>
      <c r="C55" s="65"/>
      <c r="D55" s="48" t="s">
        <v>11</v>
      </c>
      <c r="E55" s="26">
        <f aca="true" t="shared" si="20" ref="E55:J55">SUM(E53:E54)</f>
        <v>9284.14</v>
      </c>
      <c r="F55" s="26">
        <f t="shared" si="20"/>
        <v>54298.2</v>
      </c>
      <c r="G55" s="26">
        <f t="shared" si="20"/>
        <v>12500</v>
      </c>
      <c r="H55" s="26">
        <f t="shared" si="20"/>
        <v>4500</v>
      </c>
      <c r="I55" s="26">
        <f t="shared" si="20"/>
        <v>9660.369999999999</v>
      </c>
      <c r="J55" s="26">
        <f t="shared" si="20"/>
        <v>1688.24</v>
      </c>
      <c r="K55" s="26">
        <f t="shared" si="4"/>
        <v>376.22999999999956</v>
      </c>
      <c r="L55" s="26">
        <f t="shared" si="5"/>
        <v>-2839.630000000001</v>
      </c>
      <c r="M55" s="26">
        <f t="shared" si="6"/>
        <v>-44637.83</v>
      </c>
      <c r="N55" s="26">
        <f t="shared" si="7"/>
        <v>-2811.76</v>
      </c>
      <c r="O55" s="47">
        <f t="shared" si="14"/>
        <v>1.040523947290756</v>
      </c>
      <c r="P55" s="47">
        <f t="shared" si="15"/>
        <v>0.7728295999999999</v>
      </c>
      <c r="Q55" s="47">
        <f t="shared" si="16"/>
        <v>0.17791326415976955</v>
      </c>
    </row>
    <row r="56" spans="1:17" ht="15.75">
      <c r="A56" s="90" t="s">
        <v>79</v>
      </c>
      <c r="B56" s="74" t="s">
        <v>80</v>
      </c>
      <c r="C56" s="61" t="s">
        <v>81</v>
      </c>
      <c r="D56" s="6" t="s">
        <v>82</v>
      </c>
      <c r="E56" s="5">
        <v>5076.55</v>
      </c>
      <c r="F56" s="5">
        <v>7767.5</v>
      </c>
      <c r="G56" s="5">
        <v>1870.6</v>
      </c>
      <c r="H56" s="5">
        <v>1561.3999999999999</v>
      </c>
      <c r="I56" s="10">
        <v>4242.37</v>
      </c>
      <c r="J56" s="10">
        <v>3384.7999999999997</v>
      </c>
      <c r="K56" s="5">
        <f t="shared" si="4"/>
        <v>-834.1800000000003</v>
      </c>
      <c r="L56" s="5">
        <f t="shared" si="5"/>
        <v>2371.77</v>
      </c>
      <c r="M56" s="5">
        <f t="shared" si="6"/>
        <v>-3525.13</v>
      </c>
      <c r="N56" s="5">
        <f t="shared" si="7"/>
        <v>1823.3999999999999</v>
      </c>
      <c r="O56" s="33">
        <f t="shared" si="14"/>
        <v>0.8356797431326393</v>
      </c>
      <c r="P56" s="33">
        <f t="shared" si="15"/>
        <v>2.267919384154817</v>
      </c>
      <c r="Q56" s="33">
        <f t="shared" si="16"/>
        <v>0.5461692951400064</v>
      </c>
    </row>
    <row r="57" spans="1:17" ht="15.75">
      <c r="A57" s="90"/>
      <c r="B57" s="74"/>
      <c r="C57" s="62"/>
      <c r="D57" s="48" t="s">
        <v>11</v>
      </c>
      <c r="E57" s="26">
        <f aca="true" t="shared" si="21" ref="E57:K57">E56</f>
        <v>5076.55</v>
      </c>
      <c r="F57" s="26">
        <f t="shared" si="21"/>
        <v>7767.5</v>
      </c>
      <c r="G57" s="26">
        <f t="shared" si="21"/>
        <v>1870.6</v>
      </c>
      <c r="H57" s="26">
        <f t="shared" si="21"/>
        <v>1561.3999999999999</v>
      </c>
      <c r="I57" s="26">
        <f t="shared" si="21"/>
        <v>4242.37</v>
      </c>
      <c r="J57" s="26">
        <f t="shared" si="21"/>
        <v>3384.7999999999997</v>
      </c>
      <c r="K57" s="49">
        <f t="shared" si="21"/>
        <v>-834.1800000000003</v>
      </c>
      <c r="L57" s="49">
        <f t="shared" si="5"/>
        <v>2371.77</v>
      </c>
      <c r="M57" s="49">
        <f t="shared" si="6"/>
        <v>-3525.13</v>
      </c>
      <c r="N57" s="49">
        <f t="shared" si="7"/>
        <v>1823.3999999999999</v>
      </c>
      <c r="O57" s="47">
        <f t="shared" si="14"/>
        <v>0.8356797431326393</v>
      </c>
      <c r="P57" s="47">
        <f t="shared" si="15"/>
        <v>2.267919384154817</v>
      </c>
      <c r="Q57" s="47">
        <f t="shared" si="16"/>
        <v>0.5461692951400064</v>
      </c>
    </row>
    <row r="58" spans="1:17" ht="15.75">
      <c r="A58" s="74"/>
      <c r="B58" s="74" t="s">
        <v>83</v>
      </c>
      <c r="C58" s="61" t="s">
        <v>107</v>
      </c>
      <c r="D58" s="9" t="s">
        <v>84</v>
      </c>
      <c r="E58" s="5">
        <v>192.41000000000003</v>
      </c>
      <c r="F58" s="5">
        <v>41.2</v>
      </c>
      <c r="G58" s="5">
        <v>26.700000000000003</v>
      </c>
      <c r="H58" s="5">
        <v>8.9</v>
      </c>
      <c r="I58" s="10">
        <v>36.23</v>
      </c>
      <c r="J58" s="10">
        <v>0</v>
      </c>
      <c r="K58" s="5">
        <f aca="true" t="shared" si="22" ref="K58:K77">I58-E58</f>
        <v>-156.18000000000004</v>
      </c>
      <c r="L58" s="5">
        <f t="shared" si="5"/>
        <v>9.529999999999994</v>
      </c>
      <c r="M58" s="5">
        <f t="shared" si="6"/>
        <v>-4.970000000000006</v>
      </c>
      <c r="N58" s="5">
        <f t="shared" si="7"/>
        <v>-8.9</v>
      </c>
      <c r="O58" s="33">
        <f t="shared" si="14"/>
        <v>0.188295826620238</v>
      </c>
      <c r="P58" s="33">
        <f t="shared" si="15"/>
        <v>1.3569288389513106</v>
      </c>
      <c r="Q58" s="33">
        <f t="shared" si="16"/>
        <v>0.8793689320388348</v>
      </c>
    </row>
    <row r="59" spans="1:17" ht="15.75">
      <c r="A59" s="74"/>
      <c r="B59" s="74"/>
      <c r="C59" s="61" t="s">
        <v>108</v>
      </c>
      <c r="D59" s="6" t="s">
        <v>146</v>
      </c>
      <c r="E59" s="5">
        <v>8.100000000000001</v>
      </c>
      <c r="F59" s="5">
        <v>47.1</v>
      </c>
      <c r="G59" s="5">
        <v>47.1</v>
      </c>
      <c r="H59" s="5">
        <v>0</v>
      </c>
      <c r="I59" s="10">
        <v>-158.21</v>
      </c>
      <c r="J59" s="10">
        <v>4.73</v>
      </c>
      <c r="K59" s="5">
        <f t="shared" si="22"/>
        <v>-166.31</v>
      </c>
      <c r="L59" s="5">
        <f t="shared" si="5"/>
        <v>-205.31</v>
      </c>
      <c r="M59" s="5">
        <f t="shared" si="6"/>
        <v>-205.31</v>
      </c>
      <c r="N59" s="5">
        <f t="shared" si="7"/>
        <v>4.73</v>
      </c>
      <c r="O59" s="33">
        <f t="shared" si="14"/>
        <v>-19.532098765432096</v>
      </c>
      <c r="P59" s="33">
        <f t="shared" si="15"/>
        <v>-3.359023354564756</v>
      </c>
      <c r="Q59" s="33">
        <f t="shared" si="16"/>
        <v>-3.359023354564756</v>
      </c>
    </row>
    <row r="60" spans="1:17" ht="15.75">
      <c r="A60" s="74"/>
      <c r="B60" s="74"/>
      <c r="C60" s="61" t="s">
        <v>42</v>
      </c>
      <c r="D60" s="6" t="s">
        <v>43</v>
      </c>
      <c r="E60" s="5"/>
      <c r="F60" s="5">
        <v>6100</v>
      </c>
      <c r="G60" s="5">
        <f>H60</f>
        <v>0</v>
      </c>
      <c r="H60" s="5">
        <v>0</v>
      </c>
      <c r="I60" s="10">
        <v>0</v>
      </c>
      <c r="J60" s="10">
        <v>0</v>
      </c>
      <c r="K60" s="5">
        <f t="shared" si="22"/>
        <v>0</v>
      </c>
      <c r="L60" s="5">
        <f t="shared" si="5"/>
        <v>0</v>
      </c>
      <c r="M60" s="5">
        <f t="shared" si="6"/>
        <v>-6100</v>
      </c>
      <c r="N60" s="5">
        <f t="shared" si="7"/>
        <v>0</v>
      </c>
      <c r="O60" s="33">
        <f t="shared" si="14"/>
      </c>
      <c r="P60" s="33">
        <f t="shared" si="15"/>
      </c>
      <c r="Q60" s="33">
        <f t="shared" si="16"/>
        <v>0</v>
      </c>
    </row>
    <row r="61" spans="1:17" ht="31.5">
      <c r="A61" s="74"/>
      <c r="B61" s="74"/>
      <c r="C61" s="61" t="s">
        <v>116</v>
      </c>
      <c r="D61" s="6" t="s">
        <v>70</v>
      </c>
      <c r="E61" s="5">
        <v>1681.85</v>
      </c>
      <c r="F61" s="3">
        <v>680.5</v>
      </c>
      <c r="G61" s="3">
        <v>150</v>
      </c>
      <c r="H61" s="3">
        <v>50</v>
      </c>
      <c r="I61" s="5">
        <v>11751.419999999998</v>
      </c>
      <c r="J61" s="5">
        <v>75.96</v>
      </c>
      <c r="K61" s="3">
        <f t="shared" si="22"/>
        <v>10069.569999999998</v>
      </c>
      <c r="L61" s="3">
        <f t="shared" si="5"/>
        <v>11601.419999999998</v>
      </c>
      <c r="M61" s="3">
        <f t="shared" si="6"/>
        <v>11070.919999999998</v>
      </c>
      <c r="N61" s="3">
        <f t="shared" si="7"/>
        <v>25.959999999999994</v>
      </c>
      <c r="O61" s="33">
        <f t="shared" si="14"/>
        <v>6.987198620566637</v>
      </c>
      <c r="P61" s="33">
        <f t="shared" si="15"/>
        <v>78.34279999999998</v>
      </c>
      <c r="Q61" s="33">
        <f t="shared" si="16"/>
        <v>17.26880235121234</v>
      </c>
    </row>
    <row r="62" spans="1:17" ht="15.75">
      <c r="A62" s="74"/>
      <c r="B62" s="74"/>
      <c r="C62" s="61" t="s">
        <v>73</v>
      </c>
      <c r="D62" s="6" t="s">
        <v>74</v>
      </c>
      <c r="E62" s="3">
        <v>15252.319999999994</v>
      </c>
      <c r="F62" s="3">
        <v>86939.9</v>
      </c>
      <c r="G62" s="3">
        <v>17892.300000000003</v>
      </c>
      <c r="H62" s="3">
        <v>9125.8</v>
      </c>
      <c r="I62" s="3">
        <v>12746.769999999997</v>
      </c>
      <c r="J62" s="3">
        <v>-106.72000000000037</v>
      </c>
      <c r="K62" s="3">
        <f t="shared" si="22"/>
        <v>-2505.5499999999975</v>
      </c>
      <c r="L62" s="3">
        <f t="shared" si="5"/>
        <v>-5145.530000000006</v>
      </c>
      <c r="M62" s="3">
        <f t="shared" si="6"/>
        <v>-74193.13</v>
      </c>
      <c r="N62" s="3">
        <f t="shared" si="7"/>
        <v>-9232.52</v>
      </c>
      <c r="O62" s="33">
        <f t="shared" si="14"/>
        <v>0.8357266304404839</v>
      </c>
      <c r="P62" s="33">
        <f t="shared" si="15"/>
        <v>0.7124165143665149</v>
      </c>
      <c r="Q62" s="33">
        <f t="shared" si="16"/>
        <v>0.14661588062558156</v>
      </c>
    </row>
    <row r="63" spans="1:17" ht="15.75">
      <c r="A63" s="74"/>
      <c r="B63" s="74"/>
      <c r="C63" s="61" t="s">
        <v>85</v>
      </c>
      <c r="D63" s="6" t="s">
        <v>86</v>
      </c>
      <c r="E63" s="3">
        <v>186.2</v>
      </c>
      <c r="F63" s="3"/>
      <c r="G63" s="3"/>
      <c r="H63" s="3"/>
      <c r="I63" s="3">
        <v>-5867.85</v>
      </c>
      <c r="J63" s="3">
        <v>-899.28</v>
      </c>
      <c r="K63" s="3">
        <f t="shared" si="22"/>
        <v>-6054.05</v>
      </c>
      <c r="L63" s="3">
        <f t="shared" si="5"/>
        <v>-5867.85</v>
      </c>
      <c r="M63" s="3">
        <f t="shared" si="6"/>
        <v>-5867.85</v>
      </c>
      <c r="N63" s="3">
        <f t="shared" si="7"/>
        <v>-899.28</v>
      </c>
      <c r="O63" s="33">
        <f aca="true" t="shared" si="23" ref="O63:O77">_xlfn.IFERROR(I63/E63,"")</f>
        <v>-31.51369495166488</v>
      </c>
      <c r="P63" s="33">
        <f aca="true" t="shared" si="24" ref="P63:P77">_xlfn.IFERROR(I63/G63,"")</f>
      </c>
      <c r="Q63" s="33">
        <f aca="true" t="shared" si="25" ref="Q63:Q77">_xlfn.IFERROR(I63/F63,"")</f>
      </c>
    </row>
    <row r="64" spans="1:17" ht="15.75">
      <c r="A64" s="74"/>
      <c r="B64" s="74"/>
      <c r="C64" s="61" t="s">
        <v>46</v>
      </c>
      <c r="D64" s="6" t="s">
        <v>60</v>
      </c>
      <c r="E64" s="3">
        <v>6667.650000000001</v>
      </c>
      <c r="F64" s="3">
        <v>16333.1</v>
      </c>
      <c r="G64" s="3">
        <v>1000</v>
      </c>
      <c r="H64" s="3">
        <v>350</v>
      </c>
      <c r="I64" s="3">
        <v>10104.34</v>
      </c>
      <c r="J64" s="3">
        <v>1183.67</v>
      </c>
      <c r="K64" s="3">
        <f t="shared" si="22"/>
        <v>3436.6899999999996</v>
      </c>
      <c r="L64" s="3">
        <f aca="true" t="shared" si="26" ref="L64:L77">I64-G64</f>
        <v>9104.34</v>
      </c>
      <c r="M64" s="3">
        <f aca="true" t="shared" si="27" ref="M64:M77">I64-F64</f>
        <v>-6228.76</v>
      </c>
      <c r="N64" s="3">
        <f aca="true" t="shared" si="28" ref="N64:N77">J64-H64</f>
        <v>833.6700000000001</v>
      </c>
      <c r="O64" s="33">
        <f t="shared" si="23"/>
        <v>1.515427474447519</v>
      </c>
      <c r="P64" s="33">
        <f t="shared" si="24"/>
        <v>10.10434</v>
      </c>
      <c r="Q64" s="33">
        <f t="shared" si="25"/>
        <v>0.6186418989659036</v>
      </c>
    </row>
    <row r="65" spans="1:17" ht="15.75">
      <c r="A65" s="74"/>
      <c r="B65" s="74"/>
      <c r="C65" s="61" t="s">
        <v>150</v>
      </c>
      <c r="D65" s="6" t="s">
        <v>149</v>
      </c>
      <c r="E65" s="3">
        <v>940</v>
      </c>
      <c r="F65" s="3">
        <v>0</v>
      </c>
      <c r="G65" s="3">
        <f>H65</f>
        <v>0</v>
      </c>
      <c r="H65" s="3">
        <v>0</v>
      </c>
      <c r="I65" s="3">
        <v>83.58</v>
      </c>
      <c r="J65" s="3">
        <v>0</v>
      </c>
      <c r="K65" s="3">
        <f t="shared" si="22"/>
        <v>-856.42</v>
      </c>
      <c r="L65" s="3">
        <f t="shared" si="26"/>
        <v>83.58</v>
      </c>
      <c r="M65" s="3">
        <f t="shared" si="27"/>
        <v>83.58</v>
      </c>
      <c r="N65" s="3">
        <f t="shared" si="28"/>
        <v>0</v>
      </c>
      <c r="O65" s="33">
        <f t="shared" si="23"/>
        <v>0.08891489361702128</v>
      </c>
      <c r="P65" s="33">
        <f t="shared" si="24"/>
      </c>
      <c r="Q65" s="33">
        <f t="shared" si="25"/>
      </c>
    </row>
    <row r="66" spans="1:17" ht="15.75">
      <c r="A66" s="74"/>
      <c r="B66" s="74"/>
      <c r="C66" s="62"/>
      <c r="D66" s="48" t="s">
        <v>87</v>
      </c>
      <c r="E66" s="26">
        <f aca="true" t="shared" si="29" ref="E66:J66">SUM(E58:E65)</f>
        <v>24928.529999999995</v>
      </c>
      <c r="F66" s="26">
        <f t="shared" si="29"/>
        <v>110141.8</v>
      </c>
      <c r="G66" s="26">
        <f t="shared" si="29"/>
        <v>19116.100000000002</v>
      </c>
      <c r="H66" s="26">
        <f t="shared" si="29"/>
        <v>9534.699999999999</v>
      </c>
      <c r="I66" s="26">
        <f t="shared" si="29"/>
        <v>28696.279999999995</v>
      </c>
      <c r="J66" s="26">
        <f t="shared" si="29"/>
        <v>258.3599999999997</v>
      </c>
      <c r="K66" s="49">
        <f t="shared" si="22"/>
        <v>3767.75</v>
      </c>
      <c r="L66" s="49">
        <f t="shared" si="26"/>
        <v>9580.179999999993</v>
      </c>
      <c r="M66" s="49">
        <f t="shared" si="27"/>
        <v>-81445.52</v>
      </c>
      <c r="N66" s="49">
        <f t="shared" si="28"/>
        <v>-9276.34</v>
      </c>
      <c r="O66" s="47">
        <f t="shared" si="23"/>
        <v>1.1511420849925769</v>
      </c>
      <c r="P66" s="47">
        <f t="shared" si="24"/>
        <v>1.5011576629124137</v>
      </c>
      <c r="Q66" s="47">
        <f t="shared" si="25"/>
        <v>0.26053941373756373</v>
      </c>
    </row>
    <row r="67" spans="1:17" ht="25.5" customHeight="1">
      <c r="A67" s="75" t="s">
        <v>88</v>
      </c>
      <c r="B67" s="75"/>
      <c r="C67" s="76"/>
      <c r="D67" s="75"/>
      <c r="E67" s="52">
        <f aca="true" t="shared" si="30" ref="E67:J67">E5+E22</f>
        <v>3594437.4</v>
      </c>
      <c r="F67" s="52">
        <f t="shared" si="30"/>
        <v>26089513.020000003</v>
      </c>
      <c r="G67" s="52">
        <f t="shared" si="30"/>
        <v>4997123.699999999</v>
      </c>
      <c r="H67" s="52">
        <f t="shared" si="30"/>
        <v>3397068.5999999996</v>
      </c>
      <c r="I67" s="52">
        <f t="shared" si="30"/>
        <v>2879314.17</v>
      </c>
      <c r="J67" s="52">
        <f t="shared" si="30"/>
        <v>1406167.98</v>
      </c>
      <c r="K67" s="35">
        <f t="shared" si="22"/>
        <v>-715123.23</v>
      </c>
      <c r="L67" s="35">
        <f t="shared" si="26"/>
        <v>-2117809.5299999993</v>
      </c>
      <c r="M67" s="35">
        <f t="shared" si="27"/>
        <v>-23210198.85</v>
      </c>
      <c r="N67" s="35">
        <f t="shared" si="28"/>
        <v>-1990900.6199999996</v>
      </c>
      <c r="O67" s="53">
        <f t="shared" si="23"/>
        <v>0.8010472431652308</v>
      </c>
      <c r="P67" s="53">
        <f t="shared" si="24"/>
        <v>0.5761942955304469</v>
      </c>
      <c r="Q67" s="53">
        <f t="shared" si="25"/>
        <v>0.11036289438567679</v>
      </c>
    </row>
    <row r="68" spans="1:17" ht="33" customHeight="1">
      <c r="A68" s="77"/>
      <c r="B68" s="71"/>
      <c r="C68" s="61"/>
      <c r="D68" s="41" t="s">
        <v>89</v>
      </c>
      <c r="E68" s="39">
        <f aca="true" t="shared" si="31" ref="E68:J68">SUM(E69:E76)</f>
        <v>2311120.67</v>
      </c>
      <c r="F68" s="39">
        <f t="shared" si="31"/>
        <v>23927644.140000004</v>
      </c>
      <c r="G68" s="39">
        <f t="shared" si="31"/>
        <v>3889174.7300000004</v>
      </c>
      <c r="H68" s="39">
        <f t="shared" si="31"/>
        <v>1124682.98</v>
      </c>
      <c r="I68" s="39">
        <f t="shared" si="31"/>
        <v>3051879.590000001</v>
      </c>
      <c r="J68" s="39">
        <f t="shared" si="31"/>
        <v>924975.95</v>
      </c>
      <c r="K68" s="42">
        <f t="shared" si="22"/>
        <v>740758.9200000009</v>
      </c>
      <c r="L68" s="42">
        <f t="shared" si="26"/>
        <v>-837295.1399999997</v>
      </c>
      <c r="M68" s="42">
        <f t="shared" si="27"/>
        <v>-20875764.550000004</v>
      </c>
      <c r="N68" s="42">
        <f t="shared" si="28"/>
        <v>-199707.03000000003</v>
      </c>
      <c r="O68" s="43">
        <f t="shared" si="23"/>
        <v>1.320519360851894</v>
      </c>
      <c r="P68" s="43">
        <f t="shared" si="24"/>
        <v>0.7847113595742201</v>
      </c>
      <c r="Q68" s="43">
        <f t="shared" si="25"/>
        <v>0.12754617931224382</v>
      </c>
    </row>
    <row r="69" spans="1:17" ht="31.5">
      <c r="A69" s="77"/>
      <c r="B69" s="71"/>
      <c r="C69" s="61" t="s">
        <v>126</v>
      </c>
      <c r="D69" s="15" t="s">
        <v>90</v>
      </c>
      <c r="E69" s="3">
        <v>79902.6</v>
      </c>
      <c r="F69" s="15">
        <v>384548</v>
      </c>
      <c r="G69" s="3">
        <f>289880</f>
        <v>289880</v>
      </c>
      <c r="H69" s="3">
        <f>31556</f>
        <v>31556</v>
      </c>
      <c r="I69" s="7">
        <v>258324</v>
      </c>
      <c r="J69" s="7">
        <v>0</v>
      </c>
      <c r="K69" s="3">
        <f aca="true" t="shared" si="32" ref="K69:K74">I69-E69</f>
        <v>178421.4</v>
      </c>
      <c r="L69" s="3">
        <f aca="true" t="shared" si="33" ref="L69:L74">I69-G69</f>
        <v>-31556</v>
      </c>
      <c r="M69" s="3">
        <f>I69-F69</f>
        <v>-126224</v>
      </c>
      <c r="N69" s="3">
        <f>J69-H69</f>
        <v>-31556</v>
      </c>
      <c r="O69" s="34">
        <f t="shared" si="23"/>
        <v>3.232986160650592</v>
      </c>
      <c r="P69" s="34">
        <f t="shared" si="24"/>
        <v>0.8911411618600801</v>
      </c>
      <c r="Q69" s="34">
        <f t="shared" si="25"/>
        <v>0.6717600923681829</v>
      </c>
    </row>
    <row r="70" spans="1:17" ht="31.5">
      <c r="A70" s="77"/>
      <c r="B70" s="71"/>
      <c r="C70" s="61" t="s">
        <v>127</v>
      </c>
      <c r="D70" s="16" t="s">
        <v>91</v>
      </c>
      <c r="E70" s="3">
        <v>15553.7</v>
      </c>
      <c r="F70" s="15">
        <v>6299218.66</v>
      </c>
      <c r="G70" s="3">
        <v>138851.62</v>
      </c>
      <c r="H70" s="3">
        <v>25362.46</v>
      </c>
      <c r="I70" s="7">
        <v>138851.62</v>
      </c>
      <c r="J70" s="7">
        <v>25362.46</v>
      </c>
      <c r="K70" s="3">
        <f t="shared" si="32"/>
        <v>123297.92</v>
      </c>
      <c r="L70" s="3">
        <f t="shared" si="33"/>
        <v>0</v>
      </c>
      <c r="M70" s="3">
        <f>I70-F70</f>
        <v>-6160367.04</v>
      </c>
      <c r="N70" s="3">
        <f>J70-H70</f>
        <v>0</v>
      </c>
      <c r="O70" s="34">
        <f t="shared" si="23"/>
        <v>8.927240463683882</v>
      </c>
      <c r="P70" s="34">
        <f t="shared" si="24"/>
        <v>1</v>
      </c>
      <c r="Q70" s="34">
        <f t="shared" si="25"/>
        <v>0.02204267346388639</v>
      </c>
    </row>
    <row r="71" spans="1:17" ht="31.5">
      <c r="A71" s="77"/>
      <c r="B71" s="71"/>
      <c r="C71" s="61" t="s">
        <v>128</v>
      </c>
      <c r="D71" s="16" t="s">
        <v>92</v>
      </c>
      <c r="E71" s="3">
        <v>2015820.48</v>
      </c>
      <c r="F71" s="15">
        <v>11742215.65</v>
      </c>
      <c r="G71" s="3">
        <v>2416061.04</v>
      </c>
      <c r="H71" s="3">
        <v>900022.69</v>
      </c>
      <c r="I71" s="7">
        <v>2122413.67</v>
      </c>
      <c r="J71" s="7">
        <v>899161.99</v>
      </c>
      <c r="K71" s="3">
        <f t="shared" si="32"/>
        <v>106593.18999999994</v>
      </c>
      <c r="L71" s="3">
        <f t="shared" si="33"/>
        <v>-293647.3700000001</v>
      </c>
      <c r="M71" s="3">
        <f t="shared" si="27"/>
        <v>-9619801.98</v>
      </c>
      <c r="N71" s="3">
        <f>J71-H71</f>
        <v>-860.6999999999534</v>
      </c>
      <c r="O71" s="34">
        <f t="shared" si="23"/>
        <v>1.0528783148388292</v>
      </c>
      <c r="P71" s="34">
        <f t="shared" si="24"/>
        <v>0.8784602850927972</v>
      </c>
      <c r="Q71" s="34">
        <f t="shared" si="25"/>
        <v>0.18075069759087586</v>
      </c>
    </row>
    <row r="72" spans="1:17" ht="15.75">
      <c r="A72" s="77"/>
      <c r="B72" s="71"/>
      <c r="C72" s="61" t="s">
        <v>129</v>
      </c>
      <c r="D72" s="8" t="s">
        <v>93</v>
      </c>
      <c r="E72" s="3">
        <v>460259.41</v>
      </c>
      <c r="F72" s="15">
        <v>5493654.96</v>
      </c>
      <c r="G72" s="3">
        <v>1036375.2</v>
      </c>
      <c r="H72" s="3">
        <v>159734.96</v>
      </c>
      <c r="I72" s="3">
        <v>1036375.2</v>
      </c>
      <c r="J72" s="3">
        <v>451.5</v>
      </c>
      <c r="K72" s="3">
        <f t="shared" si="32"/>
        <v>576115.79</v>
      </c>
      <c r="L72" s="3">
        <f t="shared" si="33"/>
        <v>0</v>
      </c>
      <c r="M72" s="3">
        <f t="shared" si="27"/>
        <v>-4457279.76</v>
      </c>
      <c r="N72" s="3">
        <f t="shared" si="28"/>
        <v>-159283.46</v>
      </c>
      <c r="O72" s="34">
        <f t="shared" si="23"/>
        <v>2.251719742134115</v>
      </c>
      <c r="P72" s="34">
        <f t="shared" si="24"/>
        <v>1</v>
      </c>
      <c r="Q72" s="34">
        <f t="shared" si="25"/>
        <v>0.1886494888277439</v>
      </c>
    </row>
    <row r="73" spans="1:17" ht="47.25">
      <c r="A73" s="77"/>
      <c r="B73" s="71"/>
      <c r="C73" s="61" t="s">
        <v>125</v>
      </c>
      <c r="D73" s="8" t="s">
        <v>124</v>
      </c>
      <c r="E73" s="3">
        <v>4.06</v>
      </c>
      <c r="F73" s="3"/>
      <c r="G73" s="3">
        <f>H73</f>
        <v>0</v>
      </c>
      <c r="H73" s="3"/>
      <c r="I73" s="3">
        <v>387.89</v>
      </c>
      <c r="J73" s="3">
        <v>0</v>
      </c>
      <c r="K73" s="3">
        <f t="shared" si="32"/>
        <v>383.83</v>
      </c>
      <c r="L73" s="3">
        <f t="shared" si="33"/>
        <v>387.89</v>
      </c>
      <c r="M73" s="3">
        <f t="shared" si="27"/>
        <v>387.89</v>
      </c>
      <c r="N73" s="3">
        <f t="shared" si="28"/>
        <v>0</v>
      </c>
      <c r="O73" s="34">
        <f t="shared" si="23"/>
        <v>95.53940886699507</v>
      </c>
      <c r="P73" s="34">
        <f t="shared" si="24"/>
      </c>
      <c r="Q73" s="34">
        <f t="shared" si="25"/>
      </c>
    </row>
    <row r="74" spans="1:17" ht="31.5">
      <c r="A74" s="77"/>
      <c r="B74" s="71"/>
      <c r="C74" s="61" t="s">
        <v>94</v>
      </c>
      <c r="D74" s="29" t="s">
        <v>95</v>
      </c>
      <c r="E74" s="3">
        <v>692.71</v>
      </c>
      <c r="F74" s="3"/>
      <c r="G74" s="3"/>
      <c r="H74" s="3"/>
      <c r="I74" s="3">
        <v>0</v>
      </c>
      <c r="J74" s="3">
        <v>0</v>
      </c>
      <c r="K74" s="3">
        <f t="shared" si="32"/>
        <v>-692.71</v>
      </c>
      <c r="L74" s="3">
        <f t="shared" si="33"/>
        <v>0</v>
      </c>
      <c r="M74" s="3">
        <f>I74-F74</f>
        <v>0</v>
      </c>
      <c r="N74" s="3">
        <f t="shared" si="28"/>
        <v>0</v>
      </c>
      <c r="O74" s="34">
        <f t="shared" si="23"/>
        <v>0</v>
      </c>
      <c r="P74" s="34">
        <f t="shared" si="24"/>
      </c>
      <c r="Q74" s="34">
        <f t="shared" si="25"/>
      </c>
    </row>
    <row r="75" spans="1:17" ht="47.25">
      <c r="A75" s="77"/>
      <c r="B75" s="71"/>
      <c r="C75" s="61" t="s">
        <v>96</v>
      </c>
      <c r="D75" s="6" t="s">
        <v>97</v>
      </c>
      <c r="E75" s="3">
        <v>325488.5</v>
      </c>
      <c r="F75" s="5">
        <v>8006.87</v>
      </c>
      <c r="G75" s="5">
        <v>8006.87</v>
      </c>
      <c r="H75" s="5">
        <v>8006.87</v>
      </c>
      <c r="I75" s="3">
        <v>162527.7</v>
      </c>
      <c r="J75" s="3">
        <v>0</v>
      </c>
      <c r="K75" s="3">
        <f t="shared" si="22"/>
        <v>-162960.8</v>
      </c>
      <c r="L75" s="3">
        <f t="shared" si="26"/>
        <v>154520.83000000002</v>
      </c>
      <c r="M75" s="3">
        <f t="shared" si="27"/>
        <v>154520.83000000002</v>
      </c>
      <c r="N75" s="3">
        <f t="shared" si="28"/>
        <v>-8006.87</v>
      </c>
      <c r="O75" s="34">
        <f t="shared" si="23"/>
        <v>0.49933469231631844</v>
      </c>
      <c r="P75" s="34">
        <f t="shared" si="24"/>
        <v>20.29853113638663</v>
      </c>
      <c r="Q75" s="34">
        <f t="shared" si="25"/>
        <v>20.29853113638663</v>
      </c>
    </row>
    <row r="76" spans="1:17" ht="15.75">
      <c r="A76" s="77"/>
      <c r="B76" s="71"/>
      <c r="C76" s="61" t="s">
        <v>98</v>
      </c>
      <c r="D76" s="6" t="s">
        <v>99</v>
      </c>
      <c r="E76" s="3">
        <v>-586600.79</v>
      </c>
      <c r="F76" s="3"/>
      <c r="G76" s="3"/>
      <c r="H76" s="3"/>
      <c r="I76" s="3">
        <v>-667000.49</v>
      </c>
      <c r="J76" s="3">
        <v>0</v>
      </c>
      <c r="K76" s="3">
        <f t="shared" si="22"/>
        <v>-80399.69999999995</v>
      </c>
      <c r="L76" s="3">
        <f t="shared" si="26"/>
        <v>-667000.49</v>
      </c>
      <c r="M76" s="3">
        <f t="shared" si="27"/>
        <v>-667000.49</v>
      </c>
      <c r="N76" s="3">
        <f t="shared" si="28"/>
        <v>0</v>
      </c>
      <c r="O76" s="34">
        <f t="shared" si="23"/>
        <v>1.1370603336555343</v>
      </c>
      <c r="P76" s="34">
        <f t="shared" si="24"/>
      </c>
      <c r="Q76" s="34">
        <f t="shared" si="25"/>
      </c>
    </row>
    <row r="77" spans="1:17" ht="29.25" customHeight="1">
      <c r="A77" s="72" t="s">
        <v>100</v>
      </c>
      <c r="B77" s="72"/>
      <c r="C77" s="73"/>
      <c r="D77" s="72"/>
      <c r="E77" s="52">
        <f aca="true" t="shared" si="34" ref="E77:J77">E67+E68</f>
        <v>5905558.07</v>
      </c>
      <c r="F77" s="52">
        <f t="shared" si="34"/>
        <v>50017157.16000001</v>
      </c>
      <c r="G77" s="52">
        <f t="shared" si="34"/>
        <v>8886298.43</v>
      </c>
      <c r="H77" s="52">
        <f t="shared" si="34"/>
        <v>4521751.58</v>
      </c>
      <c r="I77" s="52">
        <f t="shared" si="34"/>
        <v>5931193.760000001</v>
      </c>
      <c r="J77" s="52">
        <f t="shared" si="34"/>
        <v>2331143.9299999997</v>
      </c>
      <c r="K77" s="35">
        <f t="shared" si="22"/>
        <v>25635.69000000041</v>
      </c>
      <c r="L77" s="35">
        <f t="shared" si="26"/>
        <v>-2955104.669999999</v>
      </c>
      <c r="M77" s="35">
        <f t="shared" si="27"/>
        <v>-44085963.40000001</v>
      </c>
      <c r="N77" s="35">
        <f t="shared" si="28"/>
        <v>-2190607.6500000004</v>
      </c>
      <c r="O77" s="53">
        <f t="shared" si="23"/>
        <v>1.0043409428365846</v>
      </c>
      <c r="P77" s="53">
        <f t="shared" si="24"/>
        <v>0.6674538118117198</v>
      </c>
      <c r="Q77" s="53">
        <f t="shared" si="25"/>
        <v>0.11858318418671197</v>
      </c>
    </row>
    <row r="78" spans="1:17" ht="15.75">
      <c r="A78" s="17" t="s">
        <v>101</v>
      </c>
      <c r="B78" s="18"/>
      <c r="C78" s="67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1"/>
      <c r="P78" s="22"/>
      <c r="Q78" s="21"/>
    </row>
    <row r="79" spans="3:5" ht="12.75">
      <c r="C79" s="68"/>
      <c r="E79" s="54"/>
    </row>
    <row r="80" ht="12.75">
      <c r="C80" s="68"/>
    </row>
  </sheetData>
  <sheetProtection/>
  <autoFilter ref="A4:Q79"/>
  <mergeCells count="36">
    <mergeCell ref="I3:J3"/>
    <mergeCell ref="K3:N3"/>
    <mergeCell ref="O3:O4"/>
    <mergeCell ref="A23:A26"/>
    <mergeCell ref="B23:B26"/>
    <mergeCell ref="A6:A17"/>
    <mergeCell ref="A22:C22"/>
    <mergeCell ref="F3:H3"/>
    <mergeCell ref="A56:A57"/>
    <mergeCell ref="B56:B57"/>
    <mergeCell ref="A30:A37"/>
    <mergeCell ref="B30:B37"/>
    <mergeCell ref="A38:A45"/>
    <mergeCell ref="B38:B45"/>
    <mergeCell ref="A46:A47"/>
    <mergeCell ref="B46:B47"/>
    <mergeCell ref="A53:A55"/>
    <mergeCell ref="B53:B55"/>
    <mergeCell ref="A1:Q1"/>
    <mergeCell ref="A3:A4"/>
    <mergeCell ref="B3:B4"/>
    <mergeCell ref="C3:C4"/>
    <mergeCell ref="D3:D4"/>
    <mergeCell ref="E3:E4"/>
    <mergeCell ref="A27:A29"/>
    <mergeCell ref="B27:B29"/>
    <mergeCell ref="P3:P4"/>
    <mergeCell ref="Q3:Q4"/>
    <mergeCell ref="A77:D77"/>
    <mergeCell ref="A58:A66"/>
    <mergeCell ref="B58:B66"/>
    <mergeCell ref="A67:D67"/>
    <mergeCell ref="A68:A76"/>
    <mergeCell ref="B68:B76"/>
    <mergeCell ref="A48:A52"/>
    <mergeCell ref="B48:B52"/>
  </mergeCells>
  <printOptions/>
  <pageMargins left="0.15748031496062992" right="0.15748031496062992" top="0.5118110236220472" bottom="0.1968503937007874" header="0.31496062992125984" footer="0.31496062992125984"/>
  <pageSetup fitToHeight="2" fitToWidth="1" horizontalDpi="600" verticalDpi="600" orientation="landscape" paperSize="9" scale="59" r:id="rId1"/>
  <rowBreaks count="1" manualBreakCount="1">
    <brk id="4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Юрьева Ольга Ивановна</cp:lastModifiedBy>
  <cp:lastPrinted>2023-03-06T06:04:19Z</cp:lastPrinted>
  <dcterms:created xsi:type="dcterms:W3CDTF">2015-02-26T11:08:47Z</dcterms:created>
  <dcterms:modified xsi:type="dcterms:W3CDTF">2023-03-06T06:09:39Z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