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30" activeTab="0"/>
  </bookViews>
  <sheets>
    <sheet name="на 17.03.2023" sheetId="1" r:id="rId1"/>
  </sheets>
  <definedNames>
    <definedName name="_xlfn.IFERROR" hidden="1">#NAME?</definedName>
    <definedName name="_xlnm._FilterDatabase" localSheetId="0" hidden="1">'на 17.03.2023'!$A$4:$Q$82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OKATO?">#REF!</definedName>
    <definedName name="XDO_?OKPO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_xlnm.Print_Titles" localSheetId="0">'на 17.03.2023'!$3:$4</definedName>
    <definedName name="о">#REF!</definedName>
    <definedName name="_xlnm.Print_Area" localSheetId="0">'на 17.03.2023'!$A$1:$Q$81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<sst xmlns="http://schemas.openxmlformats.org/spreadsheetml/2006/main" count="191" uniqueCount="161">
  <si>
    <t>тыс. руб.</t>
  </si>
  <si>
    <t>Код адм.</t>
  </si>
  <si>
    <t xml:space="preserve">Администраторы, кураторы доходов    </t>
  </si>
  <si>
    <t>Код вида доходов</t>
  </si>
  <si>
    <t>Вид дохода</t>
  </si>
  <si>
    <t xml:space="preserve">ОТКЛОНЕНИЕ </t>
  </si>
  <si>
    <t>факта отч.пер. от плана отч.пер.</t>
  </si>
  <si>
    <t>НАЛОГОВЫЕ ДОХОДЫ</t>
  </si>
  <si>
    <t>УВБ</t>
  </si>
  <si>
    <t>1 03 02000 01 0000 110</t>
  </si>
  <si>
    <t>Акцизы по подакцизным товарам</t>
  </si>
  <si>
    <t>ИТОГО ПО АДМИНИСТРАТОРУ</t>
  </si>
  <si>
    <t>182</t>
  </si>
  <si>
    <t>ДЭиП</t>
  </si>
  <si>
    <t>1 01 02000 01 0000 110</t>
  </si>
  <si>
    <t>НДФЛ</t>
  </si>
  <si>
    <t>1 05 02000 02 0000 110</t>
  </si>
  <si>
    <t>ЕНВД</t>
  </si>
  <si>
    <t>1 05 03000 01 0000 110</t>
  </si>
  <si>
    <t>Единый сельскохозяйственный налог</t>
  </si>
  <si>
    <t>1 05 04000 01 0000 110</t>
  </si>
  <si>
    <t>ДЗО</t>
  </si>
  <si>
    <t>1 06 01020 04 0000 110</t>
  </si>
  <si>
    <t>Налог на имущество физических лиц</t>
  </si>
  <si>
    <t>1 06 06000 00 0000 110</t>
  </si>
  <si>
    <t xml:space="preserve">Земельный налог </t>
  </si>
  <si>
    <t>ДОБ</t>
  </si>
  <si>
    <t>1 08 03010 01 0000 110</t>
  </si>
  <si>
    <t>Государственная пошлина (мировые судьи)</t>
  </si>
  <si>
    <t>1 09 00000 00 0000 000</t>
  </si>
  <si>
    <t>Задолженность по отмененным налогам</t>
  </si>
  <si>
    <t>318</t>
  </si>
  <si>
    <t>ДФ</t>
  </si>
  <si>
    <t xml:space="preserve"> 1 08 07110-120 01 0000 110, 1 08 02020 01 0000 110</t>
  </si>
  <si>
    <t>1 08 07130 01 0000 110</t>
  </si>
  <si>
    <t>Госпошлина за регистрацию СМИ</t>
  </si>
  <si>
    <t>951</t>
  </si>
  <si>
    <t>1 08 07150 01 0000 110</t>
  </si>
  <si>
    <t>944</t>
  </si>
  <si>
    <t>1 08 07173 01 0000 110</t>
  </si>
  <si>
    <t>Госпошлина за выдачу спец. разрешения (опасн., тяжеловесн., крупногабар. груз)</t>
  </si>
  <si>
    <t>НЕНАЛОГОВЫЕ ДОХОДЫ</t>
  </si>
  <si>
    <t>1 11 07014 04 0000 120</t>
  </si>
  <si>
    <t>Доходы от перечисления части прибыли МУП</t>
  </si>
  <si>
    <t>1 11 09044 04 0000 120</t>
  </si>
  <si>
    <t>Плата по договорам на размещение рекламных конструкций</t>
  </si>
  <si>
    <t>1 17 05040 04 0000 180</t>
  </si>
  <si>
    <t>Плата за размещение НТО</t>
  </si>
  <si>
    <t>163</t>
  </si>
  <si>
    <t>ДИО</t>
  </si>
  <si>
    <t>1 11 01040 04 0000 120</t>
  </si>
  <si>
    <t>Дивиденды по акциям</t>
  </si>
  <si>
    <t>1 11 05074 04 0000 120</t>
  </si>
  <si>
    <t>Доходы от сдачи в аренду имущества казны</t>
  </si>
  <si>
    <t>Прочие поступления от использования имущества</t>
  </si>
  <si>
    <t>1 14 02043 04 0000 410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</si>
  <si>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</si>
  <si>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</si>
  <si>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</si>
  <si>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</si>
  <si>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</si>
  <si>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</si>
  <si>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</si>
  <si>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</si>
  <si>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>1 14 06012 04 0000 430</t>
  </si>
  <si>
    <t xml:space="preserve">Доходы от продажи земельных участков, государственная собственность на которые не разграничена </t>
  </si>
  <si>
    <t>1 14 06024 04 0000 430</t>
  </si>
  <si>
    <t>Доходы от продажи земельных участков, находящихся в собственности городских округов</t>
  </si>
  <si>
    <t>1 14 06312 04 0000 430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</si>
  <si>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</si>
  <si>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</si>
  <si>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</si>
  <si>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</si>
  <si>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1 11 05092 04 0000 120</t>
  </si>
  <si>
    <t>1 16 00000 00 0000 000</t>
  </si>
  <si>
    <t>Штрафы, санкции, возмещение ущерба</t>
  </si>
  <si>
    <t>УЖО</t>
  </si>
  <si>
    <t>Плата за найм</t>
  </si>
  <si>
    <t>1 14 01040 04 0000 410</t>
  </si>
  <si>
    <t>Доходы от продажи квартир</t>
  </si>
  <si>
    <t>915, 048</t>
  </si>
  <si>
    <t>Уэкол.</t>
  </si>
  <si>
    <t>1 12 00000 00 0000 120</t>
  </si>
  <si>
    <t>Платежи при пользовании природными ресурсами</t>
  </si>
  <si>
    <t>Иные администр.</t>
  </si>
  <si>
    <t>Доходы от сдачи в аренду объектов нежилого фонда</t>
  </si>
  <si>
    <t>1 17 01040 04 0000 180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</si>
  <si>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</si>
  <si>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</si>
  <si>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</si>
  <si>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</si>
  <si>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</si>
  <si>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</si>
  <si>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</si>
  <si>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</si>
  <si>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2 07 04050 04 0000 150</t>
  </si>
  <si>
    <t>Прочие безвозмездные поступления в бюджеты городских округов</t>
  </si>
  <si>
    <t>2 18 04000 00 0000 000</t>
  </si>
  <si>
    <t>Доходы бюджетов городских округов от возврата бюджетными и автономными учреждениями остатков субсидий прошлых лет</t>
  </si>
  <si>
    <t>2 19 04000 00 0000 000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</si>
  <si>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</si>
  <si>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</si>
  <si>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</si>
  <si>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</si>
  <si>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</si>
  <si>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</si>
  <si>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</si>
  <si>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</si>
  <si>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ИТОГО НАЛОГОВЫХ И НЕНАЛОГОВЫХ ДОХОДОВ (без учета доходов по транспорту)</t>
  </si>
  <si>
    <t>1 11 05000 04 0000 120</t>
  </si>
  <si>
    <t>1 11 05300 00 0000 120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</si>
  <si>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</si>
  <si>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</si>
  <si>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</si>
  <si>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</si>
  <si>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1 13 02000 04 0010 130</t>
  </si>
  <si>
    <t>1 13 02000 04 0015 130</t>
  </si>
  <si>
    <t>1 13 02000 04 0020 130</t>
  </si>
  <si>
    <t>1 13 00000 04 0000 130</t>
  </si>
  <si>
    <t>1 17 05040 04 2000 180</t>
  </si>
  <si>
    <t>1 17 05040 04 1000 180</t>
  </si>
  <si>
    <t>1 14 02 04 3 04 3 000 410</t>
  </si>
  <si>
    <t>1 14 02 04 3 04 1 000 410</t>
  </si>
  <si>
    <t>1 14 02 04 3 04 2 000 410</t>
  </si>
  <si>
    <t>Плата за публичный сервитут</t>
  </si>
  <si>
    <t>1 11 05410 04 1000 120</t>
  </si>
  <si>
    <t>Прочие безвозмездные поступления от государственных (муниципальных) организаций в бюджеты городских округов</t>
  </si>
  <si>
    <t>2 03 04099 04 0 000 150</t>
  </si>
  <si>
    <t>2 02 10000 00 0000 000</t>
  </si>
  <si>
    <t>2 02 20000 00 0000 000</t>
  </si>
  <si>
    <t>2 02 30000 00 0000 000</t>
  </si>
  <si>
    <t>2 02 40000 00 0000 000</t>
  </si>
  <si>
    <t>1 11 05012 04 1020 120</t>
  </si>
  <si>
    <t>1 13 02994 04 0030 130</t>
  </si>
  <si>
    <t>1 11 05012 04 1000 120</t>
  </si>
  <si>
    <t xml:space="preserve">год </t>
  </si>
  <si>
    <t>Доходы от компенсации затрат государства (лпд )</t>
  </si>
  <si>
    <t>1 11 05024 04 1000 120</t>
  </si>
  <si>
    <t xml:space="preserve">ПЛАН на 2023 год </t>
  </si>
  <si>
    <r>
      <t>Оперативный анализ  поступления доходов бюджета города Перми в 2023 году</t>
    </r>
    <r>
      <rPr>
        <b/>
        <sz val="16"/>
        <rFont val="Times New Roman"/>
        <family val="1"/>
      </rPr>
      <t xml:space="preserve"> </t>
    </r>
  </si>
  <si>
    <t>ФАКТ 2023 года</t>
  </si>
  <si>
    <t>факта 2023 года от факта 2022 года</t>
  </si>
  <si>
    <t>факта 2023 года от плана 2023 года</t>
  </si>
  <si>
    <t>УСН</t>
  </si>
  <si>
    <t>1 05 01000 01 0000 110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</si>
  <si>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</si>
  <si>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</si>
  <si>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</si>
  <si>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</si>
  <si>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 xml:space="preserve">Транспортный налог </t>
  </si>
  <si>
    <t>1 06 04000 00 0000 110</t>
  </si>
  <si>
    <t>Инициативные платежи</t>
  </si>
  <si>
    <t>1 17 15020 04 0000 180</t>
  </si>
  <si>
    <t>Исполн. плана отч. периода</t>
  </si>
  <si>
    <t>Исполн. плана года</t>
  </si>
  <si>
    <t>Факт 2023г./ факт 2022г.</t>
  </si>
  <si>
    <t>январь-март</t>
  </si>
  <si>
    <t>март</t>
  </si>
  <si>
    <t>факта за март от плана марта</t>
  </si>
  <si>
    <t>Факт с нач. 2022 года      (по 17.03.22 вкл.)</t>
  </si>
  <si>
    <t>с нач. года на 20.03.2023 (по 17.03. вкл.)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</si>
</sst>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#,##0.000"/>
  </numFmts>
  <fonts count="45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name val="Arial Cyr"/>
      <family val="0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horizontal="right" vertical="center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166" fontId="3" fillId="0" borderId="11" xfId="0" applyNumberFormat="1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left" wrapText="1"/>
    </xf>
    <xf numFmtId="164" fontId="6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6" fontId="3" fillId="0" borderId="11" xfId="0" applyNumberFormat="1" applyFont="1" applyFill="1" applyBorder="1" applyAlignment="1">
      <alignment vertical="top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9" fontId="0" fillId="0" borderId="0" xfId="136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4" fontId="5" fillId="0" borderId="12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164" fontId="6" fillId="0" borderId="11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164" fontId="5" fillId="0" borderId="12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65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166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5" fontId="6" fillId="0" borderId="11" xfId="0" applyNumberFormat="1" applyFont="1" applyFill="1" applyBorder="1" applyAlignment="1">
      <alignment horizontal="right" wrapText="1"/>
    </xf>
    <xf numFmtId="165" fontId="6" fillId="0" borderId="11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6" fontId="6" fillId="0" borderId="10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164" fontId="6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5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0" fillId="0" borderId="0" xfId="0" applyNumberFormat="1" applyFont="1" applyFill="1" applyAlignment="1">
      <alignment/>
    </xf>
    <xf numFmtId="167" fontId="4" fillId="0" borderId="11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9" fontId="8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Fill="1" applyAlignment="1">
      <alignment/>
    </xf>
    <xf numFmtId="165" fontId="4" fillId="0" borderId="11" xfId="0" applyNumberFormat="1" applyFont="1" applyFill="1" applyBorder="1" applyAlignment="1">
      <alignment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7" xfId="0" applyNumberFormat="1" applyFont="1" applyFill="1" applyBorder="1" applyAlignment="1">
      <alignment horizontal="center" vertical="top" wrapText="1"/>
    </xf>
    <xf numFmtId="9" fontId="4" fillId="0" borderId="11" xfId="136" applyFont="1" applyFill="1" applyBorder="1" applyAlignment="1" applyProtection="1">
      <alignment horizontal="center" vertical="top" wrapText="1"/>
      <protection/>
    </xf>
    <xf numFmtId="166" fontId="4" fillId="0" borderId="11" xfId="0" applyNumberFormat="1" applyFont="1" applyFill="1" applyBorder="1" applyAlignment="1">
      <alignment horizontal="left" wrapText="1"/>
    </xf>
    <xf numFmtId="166" fontId="8" fillId="0" borderId="11" xfId="0" applyNumberFormat="1" applyFont="1" applyFill="1" applyBorder="1" applyAlignment="1">
      <alignment horizontal="left" wrapText="1"/>
    </xf>
    <xf numFmtId="166" fontId="4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left" vertical="center" wrapText="1"/>
    </xf>
    <xf numFmtId="166" fontId="8" fillId="0" borderId="11" xfId="0" applyNumberFormat="1" applyFont="1" applyFill="1" applyBorder="1" applyAlignment="1">
      <alignment horizontal="left" vertical="center" wrapText="1"/>
    </xf>
    <xf numFmtId="166" fontId="4" fillId="0" borderId="13" xfId="0" applyNumberFormat="1" applyFont="1" applyFill="1" applyBorder="1" applyAlignment="1">
      <alignment horizontal="left" vertical="center" wrapText="1"/>
    </xf>
    <xf numFmtId="166" fontId="4" fillId="0" borderId="15" xfId="0" applyNumberFormat="1" applyFont="1" applyFill="1" applyBorder="1" applyAlignment="1">
      <alignment horizontal="left" vertical="center" wrapText="1"/>
    </xf>
    <xf numFmtId="166" fontId="4" fillId="0" borderId="14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</cellXfs>
  <cellStyles count="13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0" xfId="67"/>
    <cellStyle name="Обычный 21" xfId="68"/>
    <cellStyle name="Обычный 22" xfId="69"/>
    <cellStyle name="Обычный 22 2" xfId="70"/>
    <cellStyle name="Обычный 23" xfId="71"/>
    <cellStyle name="Обычный 24" xfId="72"/>
    <cellStyle name="Обычный 25" xfId="73"/>
    <cellStyle name="Обычный 26" xfId="74"/>
    <cellStyle name="Обычный 27" xfId="75"/>
    <cellStyle name="Обычный 28" xfId="76"/>
    <cellStyle name="Обычный 29" xfId="77"/>
    <cellStyle name="Обычный 3" xfId="78"/>
    <cellStyle name="Обычный 3 2" xfId="79"/>
    <cellStyle name="Обычный 3 3" xfId="80"/>
    <cellStyle name="Обычный 30" xfId="81"/>
    <cellStyle name="Обычный 31" xfId="82"/>
    <cellStyle name="Обычный 32" xfId="83"/>
    <cellStyle name="Обычный 33" xfId="84"/>
    <cellStyle name="Обычный 34" xfId="85"/>
    <cellStyle name="Обычный 35" xfId="86"/>
    <cellStyle name="Обычный 36" xfId="87"/>
    <cellStyle name="Обычный 37" xfId="88"/>
    <cellStyle name="Обычный 38" xfId="89"/>
    <cellStyle name="Обычный 39" xfId="90"/>
    <cellStyle name="Обычный 4" xfId="91"/>
    <cellStyle name="Обычный 40" xfId="92"/>
    <cellStyle name="Обычный 41" xfId="93"/>
    <cellStyle name="Обычный 42" xfId="94"/>
    <cellStyle name="Обычный 43" xfId="95"/>
    <cellStyle name="Обычный 44" xfId="96"/>
    <cellStyle name="Обычный 45" xfId="97"/>
    <cellStyle name="Обычный 46" xfId="98"/>
    <cellStyle name="Обычный 47" xfId="99"/>
    <cellStyle name="Обычный 48" xfId="100"/>
    <cellStyle name="Обычный 49" xfId="101"/>
    <cellStyle name="Обычный 5" xfId="102"/>
    <cellStyle name="Обычный 5 2" xfId="103"/>
    <cellStyle name="Обычный 50" xfId="104"/>
    <cellStyle name="Обычный 51" xfId="105"/>
    <cellStyle name="Обычный 52" xfId="106"/>
    <cellStyle name="Обычный 53" xfId="107"/>
    <cellStyle name="Обычный 54" xfId="108"/>
    <cellStyle name="Обычный 55" xfId="109"/>
    <cellStyle name="Обычный 56" xfId="110"/>
    <cellStyle name="Обычный 57" xfId="111"/>
    <cellStyle name="Обычный 58" xfId="112"/>
    <cellStyle name="Обычный 59" xfId="113"/>
    <cellStyle name="Обычный 6" xfId="114"/>
    <cellStyle name="Обычный 60" xfId="115"/>
    <cellStyle name="Обычный 61" xfId="116"/>
    <cellStyle name="Обычный 62" xfId="117"/>
    <cellStyle name="Обычный 63" xfId="118"/>
    <cellStyle name="Обычный 64" xfId="119"/>
    <cellStyle name="Обычный 65" xfId="120"/>
    <cellStyle name="Обычный 66" xfId="121"/>
    <cellStyle name="Обычный 67" xfId="122"/>
    <cellStyle name="Обычный 68" xfId="123"/>
    <cellStyle name="Обычный 69" xfId="124"/>
    <cellStyle name="Обычный 7" xfId="125"/>
    <cellStyle name="Обычный 70" xfId="126"/>
    <cellStyle name="Обычный 71" xfId="127"/>
    <cellStyle name="Обычный 72" xfId="128"/>
    <cellStyle name="Обычный 73" xfId="129"/>
    <cellStyle name="Обычный 8" xfId="130"/>
    <cellStyle name="Обычный 9" xfId="131"/>
    <cellStyle name="Плохой" xfId="132"/>
    <cellStyle name="Пояснение" xfId="133"/>
    <cellStyle name="Примечание" xfId="134"/>
    <cellStyle name="Percent" xfId="135"/>
    <cellStyle name="Процентный 2" xfId="136"/>
    <cellStyle name="Процентный 2 2" xfId="137"/>
    <cellStyle name="Связанная ячейка" xfId="138"/>
    <cellStyle name="Текст предупреждения" xfId="139"/>
    <cellStyle name="Comma" xfId="140"/>
    <cellStyle name="Comma [0]" xfId="141"/>
    <cellStyle name="Финансовый 2" xfId="142"/>
    <cellStyle name="Финансовый 3" xfId="143"/>
    <cellStyle name="Хороший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tabSelected="1" zoomScale="80" zoomScaleNormal="8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17" sqref="F17"/>
    </sheetView>
  </sheetViews>
  <sheetFormatPr defaultColWidth="9.00390625" defaultRowHeight="12.75"/>
  <cols>
    <col min="1" max="2" width="9.125" style="73" customWidth="1"/>
    <col min="3" max="3" width="19.375" style="96" hidden="1" customWidth="1"/>
    <col min="4" max="4" width="55.25390625" style="73" customWidth="1"/>
    <col min="5" max="5" width="14.625" style="25" customWidth="1"/>
    <col min="6" max="6" width="15.625" style="73" customWidth="1"/>
    <col min="7" max="8" width="13.00390625" style="73" customWidth="1"/>
    <col min="9" max="9" width="16.25390625" style="73" customWidth="1"/>
    <col min="10" max="10" width="13.875" style="73" customWidth="1"/>
    <col min="11" max="11" width="15.125" style="73" customWidth="1"/>
    <col min="12" max="12" width="14.375" style="73" customWidth="1"/>
    <col min="13" max="13" width="15.625" style="73" customWidth="1"/>
    <col min="14" max="14" width="13.75390625" style="73" customWidth="1"/>
    <col min="15" max="15" width="10.875" style="73" customWidth="1"/>
    <col min="16" max="16" width="10.125" style="73" customWidth="1"/>
    <col min="17" max="17" width="9.25390625" style="73" customWidth="1"/>
    <col min="18" max="18" width="9.125" style="73" customWidth="1"/>
    <col min="19" max="19" width="16.625" style="73" customWidth="1"/>
    <col min="20" max="20" width="9.125" style="73" customWidth="1"/>
    <col min="21" max="21" width="15.75390625" style="73" customWidth="1"/>
    <col min="22" max="16384" width="9.125" style="73" customWidth="1"/>
  </cols>
  <sheetData>
    <row r="1" spans="1:17" ht="20.25">
      <c r="A1" s="123" t="s">
        <v>139</v>
      </c>
      <c r="B1" s="123"/>
      <c r="C1" s="124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ht="20.25" customHeight="1">
      <c r="A2" s="31"/>
      <c r="B2" s="32"/>
      <c r="C2" s="81"/>
      <c r="D2" s="29"/>
      <c r="E2" s="28"/>
      <c r="F2" s="29"/>
      <c r="G2" s="29"/>
      <c r="H2" s="34"/>
      <c r="I2" s="34"/>
      <c r="J2" s="34"/>
      <c r="K2" s="29"/>
      <c r="L2" s="29"/>
      <c r="M2" s="29"/>
      <c r="N2" s="29"/>
      <c r="O2" s="29"/>
      <c r="P2" s="27"/>
      <c r="Q2" s="27" t="s">
        <v>0</v>
      </c>
    </row>
    <row r="3" spans="1:17" ht="20.25" customHeight="1">
      <c r="A3" s="125" t="s">
        <v>1</v>
      </c>
      <c r="B3" s="126" t="s">
        <v>2</v>
      </c>
      <c r="C3" s="127" t="s">
        <v>3</v>
      </c>
      <c r="D3" s="129" t="s">
        <v>4</v>
      </c>
      <c r="E3" s="131" t="s">
        <v>159</v>
      </c>
      <c r="F3" s="102" t="s">
        <v>138</v>
      </c>
      <c r="G3" s="104"/>
      <c r="H3" s="103"/>
      <c r="I3" s="102" t="s">
        <v>140</v>
      </c>
      <c r="J3" s="103"/>
      <c r="K3" s="102" t="s">
        <v>5</v>
      </c>
      <c r="L3" s="104"/>
      <c r="M3" s="104"/>
      <c r="N3" s="103"/>
      <c r="O3" s="105" t="s">
        <v>155</v>
      </c>
      <c r="P3" s="133" t="s">
        <v>153</v>
      </c>
      <c r="Q3" s="105" t="s">
        <v>154</v>
      </c>
    </row>
    <row r="4" spans="1:17" ht="63">
      <c r="A4" s="125"/>
      <c r="B4" s="126"/>
      <c r="C4" s="128"/>
      <c r="D4" s="130"/>
      <c r="E4" s="132"/>
      <c r="F4" s="1" t="s">
        <v>135</v>
      </c>
      <c r="G4" s="1" t="s">
        <v>156</v>
      </c>
      <c r="H4" s="1" t="s">
        <v>157</v>
      </c>
      <c r="I4" s="51" t="s">
        <v>160</v>
      </c>
      <c r="J4" s="1" t="s">
        <v>157</v>
      </c>
      <c r="K4" s="1" t="s">
        <v>141</v>
      </c>
      <c r="L4" s="1" t="s">
        <v>6</v>
      </c>
      <c r="M4" s="1" t="s">
        <v>142</v>
      </c>
      <c r="N4" s="1" t="s">
        <v>158</v>
      </c>
      <c r="O4" s="105"/>
      <c r="P4" s="133"/>
      <c r="Q4" s="105"/>
    </row>
    <row r="5" spans="1:19" ht="29.25" customHeight="1">
      <c r="A5" s="52"/>
      <c r="B5" s="53"/>
      <c r="C5" s="82"/>
      <c r="D5" s="54" t="s">
        <v>7</v>
      </c>
      <c r="E5" s="55">
        <f>E17+E19+E21+E18+E20</f>
        <v>3422705.7399999984</v>
      </c>
      <c r="F5" s="55">
        <f>F17+F19+F21+F18+F20</f>
        <v>20002935.000000004</v>
      </c>
      <c r="G5" s="55">
        <f>G17+G19+G21+G18+G20</f>
        <v>3637018.9999999995</v>
      </c>
      <c r="H5" s="55">
        <f>H17+H19+H21+H18+H20</f>
        <v>2805101.6999999997</v>
      </c>
      <c r="I5" s="55">
        <f>I17+I19+I21+I18+I20</f>
        <v>1724835.1199999996</v>
      </c>
      <c r="J5" s="55">
        <f>J17+J19+J21+J18+J20</f>
        <v>1338280.23</v>
      </c>
      <c r="K5" s="56">
        <f>I5-E5</f>
        <v>-1697870.6199999987</v>
      </c>
      <c r="L5" s="56">
        <f>I5-G5</f>
        <v>-1912183.88</v>
      </c>
      <c r="M5" s="56">
        <f>I5-F5</f>
        <v>-18278099.880000003</v>
      </c>
      <c r="N5" s="56">
        <f aca="true" t="shared" si="0" ref="N5:N36">J5-H5</f>
        <v>-1466821.4699999997</v>
      </c>
      <c r="O5" s="57">
        <f aca="true" t="shared" si="1" ref="O5:O36">_xlfn.IFERROR(I5/E5,"")</f>
        <v>0.5039390619656368</v>
      </c>
      <c r="P5" s="57">
        <f aca="true" t="shared" si="2" ref="P5:P36">_xlfn.IFERROR(I5/G5,"")</f>
        <v>0.4742441873413364</v>
      </c>
      <c r="Q5" s="57">
        <f aca="true" t="shared" si="3" ref="Q5:Q36">_xlfn.IFERROR(I5/F5,"")</f>
        <v>0.08622910187929918</v>
      </c>
      <c r="S5" s="83"/>
    </row>
    <row r="6" spans="1:22" ht="15.75">
      <c r="A6" s="112" t="s">
        <v>12</v>
      </c>
      <c r="B6" s="97" t="s">
        <v>13</v>
      </c>
      <c r="C6" s="82" t="s">
        <v>14</v>
      </c>
      <c r="D6" s="4" t="s">
        <v>15</v>
      </c>
      <c r="E6" s="36">
        <v>2658876.0999999987</v>
      </c>
      <c r="F6" s="5">
        <f>14235121.9+613644.6</f>
        <v>14848766.5</v>
      </c>
      <c r="G6" s="5">
        <v>2796612.3</v>
      </c>
      <c r="H6" s="5">
        <v>2055445</v>
      </c>
      <c r="I6" s="35">
        <v>1284929.8299999998</v>
      </c>
      <c r="J6" s="35">
        <v>897564.0399999999</v>
      </c>
      <c r="K6" s="5">
        <f aca="true" t="shared" si="4" ref="K6:K57">I6-E6</f>
        <v>-1373946.2699999989</v>
      </c>
      <c r="L6" s="5">
        <f aca="true" t="shared" si="5" ref="L6:L64">I6-G6</f>
        <v>-1511682.47</v>
      </c>
      <c r="M6" s="5">
        <f aca="true" t="shared" si="6" ref="M6:M64">I6-F6</f>
        <v>-13563836.67</v>
      </c>
      <c r="N6" s="5">
        <f t="shared" si="0"/>
        <v>-1157880.96</v>
      </c>
      <c r="O6" s="45">
        <f t="shared" si="1"/>
        <v>0.48326051371855966</v>
      </c>
      <c r="P6" s="45">
        <f t="shared" si="2"/>
        <v>0.45945940736940905</v>
      </c>
      <c r="Q6" s="45">
        <f t="shared" si="3"/>
        <v>0.08653444917461661</v>
      </c>
      <c r="V6" s="83"/>
    </row>
    <row r="7" spans="1:22" ht="15.75">
      <c r="A7" s="107"/>
      <c r="B7" s="97" t="s">
        <v>8</v>
      </c>
      <c r="C7" s="82" t="s">
        <v>9</v>
      </c>
      <c r="D7" s="2" t="s">
        <v>10</v>
      </c>
      <c r="E7" s="35">
        <v>11708.55</v>
      </c>
      <c r="F7" s="3">
        <v>80057.5</v>
      </c>
      <c r="G7" s="3">
        <v>17850</v>
      </c>
      <c r="H7" s="3">
        <v>11430</v>
      </c>
      <c r="I7" s="39">
        <v>12725.33</v>
      </c>
      <c r="J7" s="39">
        <v>4010.26</v>
      </c>
      <c r="K7" s="3">
        <f>I7-E7</f>
        <v>1016.7800000000007</v>
      </c>
      <c r="L7" s="3">
        <f>I7-G7</f>
        <v>-5124.67</v>
      </c>
      <c r="M7" s="3">
        <f>I7-F7</f>
        <v>-67332.17</v>
      </c>
      <c r="N7" s="3">
        <f t="shared" si="0"/>
        <v>-7419.74</v>
      </c>
      <c r="O7" s="45">
        <f t="shared" si="1"/>
        <v>1.0868408129102238</v>
      </c>
      <c r="P7" s="45">
        <f t="shared" si="2"/>
        <v>0.7129036414565826</v>
      </c>
      <c r="Q7" s="45">
        <f t="shared" si="3"/>
        <v>0.15895237797832806</v>
      </c>
      <c r="V7" s="83"/>
    </row>
    <row r="8" spans="1:22" ht="15.75">
      <c r="A8" s="107"/>
      <c r="B8" s="97" t="s">
        <v>13</v>
      </c>
      <c r="C8" s="84" t="s">
        <v>144</v>
      </c>
      <c r="D8" s="37" t="s">
        <v>143</v>
      </c>
      <c r="E8" s="36"/>
      <c r="F8" s="36">
        <v>1204375.9</v>
      </c>
      <c r="G8" s="36">
        <v>218966.3</v>
      </c>
      <c r="H8" s="36">
        <v>218966.3</v>
      </c>
      <c r="I8" s="35">
        <v>11067.9</v>
      </c>
      <c r="J8" s="35">
        <v>14579.45</v>
      </c>
      <c r="K8" s="5">
        <f>I8-E8</f>
        <v>11067.9</v>
      </c>
      <c r="L8" s="5">
        <f>I8-G8</f>
        <v>-207898.4</v>
      </c>
      <c r="M8" s="5">
        <f>I8-F8</f>
        <v>-1193308</v>
      </c>
      <c r="N8" s="5">
        <f t="shared" si="0"/>
        <v>-204386.84999999998</v>
      </c>
      <c r="O8" s="45">
        <f t="shared" si="1"/>
      </c>
      <c r="P8" s="45">
        <f t="shared" si="2"/>
        <v>0.05054613426814994</v>
      </c>
      <c r="Q8" s="45">
        <f t="shared" si="3"/>
        <v>0.009189738851466556</v>
      </c>
      <c r="V8" s="83"/>
    </row>
    <row r="9" spans="1:22" ht="15.75">
      <c r="A9" s="107"/>
      <c r="B9" s="97" t="s">
        <v>13</v>
      </c>
      <c r="C9" s="82" t="s">
        <v>16</v>
      </c>
      <c r="D9" s="4" t="s">
        <v>17</v>
      </c>
      <c r="E9" s="36">
        <v>1163.11</v>
      </c>
      <c r="F9" s="5"/>
      <c r="G9" s="5"/>
      <c r="H9" s="5"/>
      <c r="I9" s="39">
        <v>-3779.52</v>
      </c>
      <c r="J9" s="39">
        <v>182.97</v>
      </c>
      <c r="K9" s="5">
        <f t="shared" si="4"/>
        <v>-4942.63</v>
      </c>
      <c r="L9" s="5">
        <f>I9-G9</f>
        <v>-3779.52</v>
      </c>
      <c r="M9" s="5">
        <f t="shared" si="6"/>
        <v>-3779.52</v>
      </c>
      <c r="N9" s="5">
        <f t="shared" si="0"/>
        <v>182.97</v>
      </c>
      <c r="O9" s="45">
        <f t="shared" si="1"/>
        <v>-3.249494888703562</v>
      </c>
      <c r="P9" s="45">
        <f t="shared" si="2"/>
      </c>
      <c r="Q9" s="45">
        <f t="shared" si="3"/>
      </c>
      <c r="V9" s="83"/>
    </row>
    <row r="10" spans="1:22" ht="15.75">
      <c r="A10" s="107"/>
      <c r="B10" s="97" t="s">
        <v>13</v>
      </c>
      <c r="C10" s="82" t="s">
        <v>18</v>
      </c>
      <c r="D10" s="4" t="s">
        <v>19</v>
      </c>
      <c r="E10" s="36">
        <v>165.86</v>
      </c>
      <c r="F10" s="5">
        <v>4690.3</v>
      </c>
      <c r="G10" s="5">
        <v>2720.4</v>
      </c>
      <c r="H10" s="5">
        <v>2720.4</v>
      </c>
      <c r="I10" s="40">
        <v>30.550000000000004</v>
      </c>
      <c r="J10" s="40">
        <v>14.41</v>
      </c>
      <c r="K10" s="5">
        <f t="shared" si="4"/>
        <v>-135.31</v>
      </c>
      <c r="L10" s="5">
        <f t="shared" si="5"/>
        <v>-2689.85</v>
      </c>
      <c r="M10" s="5">
        <f t="shared" si="6"/>
        <v>-4659.75</v>
      </c>
      <c r="N10" s="5">
        <f t="shared" si="0"/>
        <v>-2705.9900000000002</v>
      </c>
      <c r="O10" s="45">
        <f t="shared" si="1"/>
        <v>0.1841914867960931</v>
      </c>
      <c r="P10" s="45">
        <f t="shared" si="2"/>
        <v>0.011229966181443906</v>
      </c>
      <c r="Q10" s="45">
        <f t="shared" si="3"/>
        <v>0.00651344263693154</v>
      </c>
      <c r="V10" s="83"/>
    </row>
    <row r="11" spans="1:22" ht="31.5">
      <c r="A11" s="107"/>
      <c r="B11" s="97" t="s">
        <v>13</v>
      </c>
      <c r="C11" s="82" t="s">
        <v>20</v>
      </c>
      <c r="D11" s="4" t="s">
        <v>146</v>
      </c>
      <c r="E11" s="36">
        <v>44160.29</v>
      </c>
      <c r="F11" s="5">
        <v>314766.5</v>
      </c>
      <c r="G11" s="5">
        <v>1823</v>
      </c>
      <c r="H11" s="5">
        <v>0</v>
      </c>
      <c r="I11" s="40">
        <v>-41078.93</v>
      </c>
      <c r="J11" s="40">
        <v>1035.1</v>
      </c>
      <c r="K11" s="5">
        <f t="shared" si="4"/>
        <v>-85239.22</v>
      </c>
      <c r="L11" s="5">
        <f t="shared" si="5"/>
        <v>-42901.93</v>
      </c>
      <c r="M11" s="5">
        <f t="shared" si="6"/>
        <v>-355845.43</v>
      </c>
      <c r="N11" s="5">
        <f t="shared" si="0"/>
        <v>1035.1</v>
      </c>
      <c r="O11" s="45">
        <f t="shared" si="1"/>
        <v>-0.930223284312671</v>
      </c>
      <c r="P11" s="45">
        <f t="shared" si="2"/>
        <v>-22.533697202413602</v>
      </c>
      <c r="Q11" s="45">
        <f t="shared" si="3"/>
        <v>-0.13050604178017675</v>
      </c>
      <c r="V11" s="83"/>
    </row>
    <row r="12" spans="1:22" ht="15.75">
      <c r="A12" s="107"/>
      <c r="B12" s="97" t="s">
        <v>21</v>
      </c>
      <c r="C12" s="82" t="s">
        <v>22</v>
      </c>
      <c r="D12" s="4" t="s">
        <v>23</v>
      </c>
      <c r="E12" s="36">
        <v>41957.990000000005</v>
      </c>
      <c r="F12" s="5">
        <v>1083466.2</v>
      </c>
      <c r="G12" s="5">
        <v>45300</v>
      </c>
      <c r="H12" s="5">
        <v>12500</v>
      </c>
      <c r="I12" s="40">
        <v>12979.09</v>
      </c>
      <c r="J12" s="40">
        <v>1291.52</v>
      </c>
      <c r="K12" s="5">
        <f t="shared" si="4"/>
        <v>-28978.900000000005</v>
      </c>
      <c r="L12" s="5">
        <f t="shared" si="5"/>
        <v>-32320.91</v>
      </c>
      <c r="M12" s="5">
        <f t="shared" si="6"/>
        <v>-1070487.1099999999</v>
      </c>
      <c r="N12" s="5">
        <f t="shared" si="0"/>
        <v>-11208.48</v>
      </c>
      <c r="O12" s="45">
        <f t="shared" si="1"/>
        <v>0.3093353613936225</v>
      </c>
      <c r="P12" s="45">
        <f t="shared" si="2"/>
        <v>0.2865141280353201</v>
      </c>
      <c r="Q12" s="45">
        <f t="shared" si="3"/>
        <v>0.011979229255144278</v>
      </c>
      <c r="V12" s="83"/>
    </row>
    <row r="13" spans="1:22" ht="15.75">
      <c r="A13" s="107"/>
      <c r="B13" s="97" t="s">
        <v>106</v>
      </c>
      <c r="C13" s="82" t="s">
        <v>150</v>
      </c>
      <c r="D13" s="4" t="s">
        <v>149</v>
      </c>
      <c r="E13" s="36">
        <v>164959.82</v>
      </c>
      <c r="F13" s="5"/>
      <c r="G13" s="5"/>
      <c r="H13" s="5"/>
      <c r="I13" s="40">
        <v>0</v>
      </c>
      <c r="J13" s="40">
        <v>0</v>
      </c>
      <c r="K13" s="5">
        <f t="shared" si="4"/>
        <v>-164959.82</v>
      </c>
      <c r="L13" s="5">
        <f t="shared" si="5"/>
        <v>0</v>
      </c>
      <c r="M13" s="5">
        <f t="shared" si="6"/>
        <v>0</v>
      </c>
      <c r="N13" s="5">
        <f t="shared" si="0"/>
        <v>0</v>
      </c>
      <c r="O13" s="45">
        <f t="shared" si="1"/>
        <v>0</v>
      </c>
      <c r="P13" s="45">
        <f t="shared" si="2"/>
      </c>
      <c r="Q13" s="45">
        <f t="shared" si="3"/>
      </c>
      <c r="V13" s="83"/>
    </row>
    <row r="14" spans="1:22" ht="15.75">
      <c r="A14" s="107"/>
      <c r="B14" s="97" t="s">
        <v>21</v>
      </c>
      <c r="C14" s="82" t="s">
        <v>24</v>
      </c>
      <c r="D14" s="4" t="s">
        <v>25</v>
      </c>
      <c r="E14" s="36">
        <v>458543.76</v>
      </c>
      <c r="F14" s="5">
        <v>2237196.9</v>
      </c>
      <c r="G14" s="5">
        <v>499900</v>
      </c>
      <c r="H14" s="5">
        <v>481600</v>
      </c>
      <c r="I14" s="40">
        <v>414766.19</v>
      </c>
      <c r="J14" s="40">
        <v>410463.70000000007</v>
      </c>
      <c r="K14" s="5">
        <f t="shared" si="4"/>
        <v>-43777.57000000001</v>
      </c>
      <c r="L14" s="5">
        <f t="shared" si="5"/>
        <v>-85133.81</v>
      </c>
      <c r="M14" s="5">
        <f t="shared" si="6"/>
        <v>-1822430.71</v>
      </c>
      <c r="N14" s="5">
        <f t="shared" si="0"/>
        <v>-71136.29999999993</v>
      </c>
      <c r="O14" s="45">
        <f t="shared" si="1"/>
        <v>0.9045291337079803</v>
      </c>
      <c r="P14" s="45">
        <f t="shared" si="2"/>
        <v>0.8296983196639328</v>
      </c>
      <c r="Q14" s="45">
        <f t="shared" si="3"/>
        <v>0.18539547860092245</v>
      </c>
      <c r="V14" s="83"/>
    </row>
    <row r="15" spans="1:22" ht="15.75">
      <c r="A15" s="107"/>
      <c r="B15" s="97" t="s">
        <v>26</v>
      </c>
      <c r="C15" s="82" t="s">
        <v>27</v>
      </c>
      <c r="D15" s="4" t="s">
        <v>28</v>
      </c>
      <c r="E15" s="36">
        <v>40870.3</v>
      </c>
      <c r="F15" s="5">
        <v>228385.6</v>
      </c>
      <c r="G15" s="5">
        <v>53580</v>
      </c>
      <c r="H15" s="5">
        <v>22310</v>
      </c>
      <c r="I15" s="36">
        <v>33106.38</v>
      </c>
      <c r="J15" s="36">
        <v>9123.599999999999</v>
      </c>
      <c r="K15" s="5">
        <f t="shared" si="4"/>
        <v>-7763.9200000000055</v>
      </c>
      <c r="L15" s="5">
        <f t="shared" si="5"/>
        <v>-20473.620000000003</v>
      </c>
      <c r="M15" s="5">
        <f t="shared" si="6"/>
        <v>-195279.22</v>
      </c>
      <c r="N15" s="5">
        <f t="shared" si="0"/>
        <v>-13186.400000000001</v>
      </c>
      <c r="O15" s="45">
        <f t="shared" si="1"/>
        <v>0.8100351600061657</v>
      </c>
      <c r="P15" s="45">
        <f t="shared" si="2"/>
        <v>0.6178868980963046</v>
      </c>
      <c r="Q15" s="45">
        <f t="shared" si="3"/>
        <v>0.144958263568281</v>
      </c>
      <c r="V15" s="83"/>
    </row>
    <row r="16" spans="1:22" ht="15.75">
      <c r="A16" s="107"/>
      <c r="B16" s="97" t="s">
        <v>21</v>
      </c>
      <c r="C16" s="82" t="s">
        <v>29</v>
      </c>
      <c r="D16" s="4" t="s">
        <v>30</v>
      </c>
      <c r="E16" s="36">
        <v>17.96</v>
      </c>
      <c r="F16" s="5"/>
      <c r="G16" s="5"/>
      <c r="H16" s="5"/>
      <c r="I16" s="43">
        <v>-0.1</v>
      </c>
      <c r="J16" s="43">
        <v>2.18</v>
      </c>
      <c r="K16" s="5">
        <f t="shared" si="4"/>
        <v>-18.060000000000002</v>
      </c>
      <c r="L16" s="5">
        <f t="shared" si="5"/>
        <v>-0.1</v>
      </c>
      <c r="M16" s="5">
        <f t="shared" si="6"/>
        <v>-0.1</v>
      </c>
      <c r="N16" s="5">
        <f t="shared" si="0"/>
        <v>2.18</v>
      </c>
      <c r="O16" s="45">
        <f t="shared" si="1"/>
        <v>-0.005567928730512249</v>
      </c>
      <c r="P16" s="45">
        <f t="shared" si="2"/>
      </c>
      <c r="Q16" s="45">
        <f t="shared" si="3"/>
      </c>
      <c r="V16" s="83"/>
    </row>
    <row r="17" spans="1:22" ht="15.75">
      <c r="A17" s="108"/>
      <c r="B17" s="62"/>
      <c r="C17" s="85"/>
      <c r="D17" s="63" t="s">
        <v>11</v>
      </c>
      <c r="E17" s="64">
        <f>SUM(E6:E16)</f>
        <v>3422423.7399999984</v>
      </c>
      <c r="F17" s="30">
        <f>SUM(F6:F16)</f>
        <v>20001705.400000002</v>
      </c>
      <c r="G17" s="30">
        <f>SUM(G6:G16)</f>
        <v>3636751.9999999995</v>
      </c>
      <c r="H17" s="30">
        <f>SUM(H6:H16)</f>
        <v>2804971.6999999997</v>
      </c>
      <c r="I17" s="30">
        <f>SUM(I6:I16)</f>
        <v>1724746.7199999997</v>
      </c>
      <c r="J17" s="30">
        <f>SUM(J6:J16)</f>
        <v>1338267.23</v>
      </c>
      <c r="K17" s="30">
        <f t="shared" si="4"/>
        <v>-1697677.0199999986</v>
      </c>
      <c r="L17" s="30">
        <f t="shared" si="5"/>
        <v>-1912005.2799999998</v>
      </c>
      <c r="M17" s="30">
        <f t="shared" si="6"/>
        <v>-18276958.680000003</v>
      </c>
      <c r="N17" s="30">
        <f t="shared" si="0"/>
        <v>-1466704.4699999997</v>
      </c>
      <c r="O17" s="65">
        <f t="shared" si="1"/>
        <v>0.503954755760314</v>
      </c>
      <c r="P17" s="65">
        <f t="shared" si="2"/>
        <v>0.47425469759829647</v>
      </c>
      <c r="Q17" s="65">
        <f t="shared" si="3"/>
        <v>0.08622998316933513</v>
      </c>
      <c r="V17" s="83"/>
    </row>
    <row r="18" spans="1:22" ht="15.75">
      <c r="A18" s="98" t="s">
        <v>103</v>
      </c>
      <c r="B18" s="97" t="s">
        <v>32</v>
      </c>
      <c r="C18" s="82" t="s">
        <v>34</v>
      </c>
      <c r="D18" s="4" t="s">
        <v>35</v>
      </c>
      <c r="E18" s="36">
        <v>28</v>
      </c>
      <c r="F18" s="5">
        <v>140</v>
      </c>
      <c r="G18" s="5">
        <v>35</v>
      </c>
      <c r="H18" s="5">
        <v>15</v>
      </c>
      <c r="I18" s="38">
        <v>24</v>
      </c>
      <c r="J18" s="38">
        <v>0</v>
      </c>
      <c r="K18" s="5">
        <f t="shared" si="4"/>
        <v>-4</v>
      </c>
      <c r="L18" s="5">
        <f t="shared" si="5"/>
        <v>-11</v>
      </c>
      <c r="M18" s="5">
        <f t="shared" si="6"/>
        <v>-116</v>
      </c>
      <c r="N18" s="5">
        <f t="shared" si="0"/>
        <v>-15</v>
      </c>
      <c r="O18" s="45">
        <f t="shared" si="1"/>
        <v>0.8571428571428571</v>
      </c>
      <c r="P18" s="45">
        <f t="shared" si="2"/>
        <v>0.6857142857142857</v>
      </c>
      <c r="Q18" s="45">
        <f t="shared" si="3"/>
        <v>0.17142857142857143</v>
      </c>
      <c r="V18" s="83"/>
    </row>
    <row r="19" spans="1:22" ht="19.5" customHeight="1">
      <c r="A19" s="98" t="s">
        <v>31</v>
      </c>
      <c r="B19" s="97" t="s">
        <v>32</v>
      </c>
      <c r="C19" s="82" t="s">
        <v>33</v>
      </c>
      <c r="D19" s="4" t="s">
        <v>145</v>
      </c>
      <c r="E19" s="36">
        <v>37.599999999999994</v>
      </c>
      <c r="F19" s="5"/>
      <c r="G19" s="5"/>
      <c r="H19" s="5"/>
      <c r="I19" s="38">
        <v>27.2</v>
      </c>
      <c r="J19" s="38">
        <v>8</v>
      </c>
      <c r="K19" s="5">
        <f t="shared" si="4"/>
        <v>-10.399999999999995</v>
      </c>
      <c r="L19" s="5">
        <f t="shared" si="5"/>
        <v>27.2</v>
      </c>
      <c r="M19" s="5">
        <f t="shared" si="6"/>
        <v>27.2</v>
      </c>
      <c r="N19" s="5">
        <f t="shared" si="0"/>
        <v>8</v>
      </c>
      <c r="O19" s="45">
        <f t="shared" si="1"/>
        <v>0.723404255319149</v>
      </c>
      <c r="P19" s="45">
        <f t="shared" si="2"/>
      </c>
      <c r="Q19" s="45">
        <f t="shared" si="3"/>
      </c>
      <c r="V19" s="83"/>
    </row>
    <row r="20" spans="1:22" ht="31.5">
      <c r="A20" s="99" t="s">
        <v>38</v>
      </c>
      <c r="B20" s="100" t="s">
        <v>105</v>
      </c>
      <c r="C20" s="82" t="s">
        <v>39</v>
      </c>
      <c r="D20" s="4" t="s">
        <v>40</v>
      </c>
      <c r="E20" s="36">
        <v>206.4</v>
      </c>
      <c r="F20" s="5">
        <v>969.6</v>
      </c>
      <c r="G20" s="5">
        <v>222</v>
      </c>
      <c r="H20" s="5">
        <v>110</v>
      </c>
      <c r="I20" s="38">
        <v>27.2</v>
      </c>
      <c r="J20" s="38">
        <v>0</v>
      </c>
      <c r="K20" s="5">
        <f t="shared" si="4"/>
        <v>-179.20000000000002</v>
      </c>
      <c r="L20" s="5">
        <f t="shared" si="5"/>
        <v>-194.8</v>
      </c>
      <c r="M20" s="5">
        <f t="shared" si="6"/>
        <v>-942.4</v>
      </c>
      <c r="N20" s="5">
        <f t="shared" si="0"/>
        <v>-110</v>
      </c>
      <c r="O20" s="45">
        <f t="shared" si="1"/>
        <v>0.1317829457364341</v>
      </c>
      <c r="P20" s="45">
        <f t="shared" si="2"/>
        <v>0.12252252252252252</v>
      </c>
      <c r="Q20" s="45">
        <f t="shared" si="3"/>
        <v>0.028052805280528052</v>
      </c>
      <c r="V20" s="83"/>
    </row>
    <row r="21" spans="1:22" ht="15.75">
      <c r="A21" s="98" t="s">
        <v>36</v>
      </c>
      <c r="B21" s="97" t="s">
        <v>13</v>
      </c>
      <c r="C21" s="82" t="s">
        <v>37</v>
      </c>
      <c r="D21" s="4" t="s">
        <v>107</v>
      </c>
      <c r="E21" s="36">
        <v>10</v>
      </c>
      <c r="F21" s="5">
        <v>120</v>
      </c>
      <c r="G21" s="5">
        <v>10</v>
      </c>
      <c r="H21" s="5">
        <v>5</v>
      </c>
      <c r="I21" s="38">
        <v>10</v>
      </c>
      <c r="J21" s="38">
        <v>5</v>
      </c>
      <c r="K21" s="5">
        <f t="shared" si="4"/>
        <v>0</v>
      </c>
      <c r="L21" s="5">
        <f t="shared" si="5"/>
        <v>0</v>
      </c>
      <c r="M21" s="5">
        <f t="shared" si="6"/>
        <v>-110</v>
      </c>
      <c r="N21" s="5">
        <f t="shared" si="0"/>
        <v>0</v>
      </c>
      <c r="O21" s="45">
        <f t="shared" si="1"/>
        <v>1</v>
      </c>
      <c r="P21" s="45">
        <f t="shared" si="2"/>
        <v>1</v>
      </c>
      <c r="Q21" s="45">
        <f t="shared" si="3"/>
        <v>0.08333333333333333</v>
      </c>
      <c r="V21" s="83"/>
    </row>
    <row r="22" spans="1:22" ht="27.75" customHeight="1">
      <c r="A22" s="113"/>
      <c r="B22" s="113"/>
      <c r="C22" s="114"/>
      <c r="D22" s="58" t="s">
        <v>41</v>
      </c>
      <c r="E22" s="56">
        <f aca="true" t="shared" si="7" ref="E22:J22">E26+E29+E37+E46+E48+E53+E56+E58+E67</f>
        <v>1125018.0200000003</v>
      </c>
      <c r="F22" s="56">
        <f t="shared" si="7"/>
        <v>6086578.0200000005</v>
      </c>
      <c r="G22" s="56">
        <f t="shared" si="7"/>
        <v>1360104.7000000002</v>
      </c>
      <c r="H22" s="56">
        <f t="shared" si="7"/>
        <v>591966.9</v>
      </c>
      <c r="I22" s="56">
        <f t="shared" si="7"/>
        <v>1396453.3900000001</v>
      </c>
      <c r="J22" s="56">
        <f t="shared" si="7"/>
        <v>309862.18000000005</v>
      </c>
      <c r="K22" s="56">
        <f t="shared" si="4"/>
        <v>271435.3699999999</v>
      </c>
      <c r="L22" s="56">
        <f t="shared" si="5"/>
        <v>36348.689999999944</v>
      </c>
      <c r="M22" s="56">
        <f t="shared" si="6"/>
        <v>-4690124.630000001</v>
      </c>
      <c r="N22" s="56">
        <f t="shared" si="0"/>
        <v>-282104.72</v>
      </c>
      <c r="O22" s="57">
        <f t="shared" si="1"/>
        <v>1.241272019802847</v>
      </c>
      <c r="P22" s="57">
        <f t="shared" si="2"/>
        <v>1.0267249205153104</v>
      </c>
      <c r="Q22" s="57">
        <f t="shared" si="3"/>
        <v>0.22943160925751183</v>
      </c>
      <c r="U22" s="6"/>
      <c r="V22" s="83"/>
    </row>
    <row r="23" spans="1:17" ht="31.5">
      <c r="A23" s="106" t="s">
        <v>38</v>
      </c>
      <c r="B23" s="109" t="s">
        <v>105</v>
      </c>
      <c r="C23" s="86" t="s">
        <v>73</v>
      </c>
      <c r="D23" s="7" t="s">
        <v>147</v>
      </c>
      <c r="E23" s="40">
        <v>20963.73</v>
      </c>
      <c r="F23" s="5">
        <f>135475.5+25225.6</f>
        <v>160701.1</v>
      </c>
      <c r="G23" s="5">
        <f>26900+4425</f>
        <v>31325</v>
      </c>
      <c r="H23" s="5">
        <f>11200+4425</f>
        <v>15625</v>
      </c>
      <c r="I23" s="38">
        <v>30447</v>
      </c>
      <c r="J23" s="38">
        <v>8395.93</v>
      </c>
      <c r="K23" s="8">
        <f t="shared" si="4"/>
        <v>9483.27</v>
      </c>
      <c r="L23" s="8">
        <f t="shared" si="5"/>
        <v>-878</v>
      </c>
      <c r="M23" s="8">
        <f t="shared" si="6"/>
        <v>-130254.1</v>
      </c>
      <c r="N23" s="8">
        <f t="shared" si="0"/>
        <v>-7229.07</v>
      </c>
      <c r="O23" s="46">
        <f t="shared" si="1"/>
        <v>1.4523655857044524</v>
      </c>
      <c r="P23" s="46">
        <f t="shared" si="2"/>
        <v>0.9719712689545091</v>
      </c>
      <c r="Q23" s="46">
        <f t="shared" si="3"/>
        <v>0.18946354443124533</v>
      </c>
    </row>
    <row r="24" spans="1:17" ht="15.75">
      <c r="A24" s="107"/>
      <c r="B24" s="110"/>
      <c r="C24" s="82" t="s">
        <v>42</v>
      </c>
      <c r="D24" s="7" t="s">
        <v>43</v>
      </c>
      <c r="E24" s="39"/>
      <c r="F24" s="5">
        <v>31937.8</v>
      </c>
      <c r="G24" s="5">
        <f>H24</f>
        <v>0</v>
      </c>
      <c r="H24" s="5">
        <v>0</v>
      </c>
      <c r="I24" s="17">
        <v>0</v>
      </c>
      <c r="J24" s="17">
        <v>0</v>
      </c>
      <c r="K24" s="5">
        <f t="shared" si="4"/>
        <v>0</v>
      </c>
      <c r="L24" s="5">
        <f t="shared" si="5"/>
        <v>0</v>
      </c>
      <c r="M24" s="5">
        <f t="shared" si="6"/>
        <v>-31937.8</v>
      </c>
      <c r="N24" s="5">
        <f t="shared" si="0"/>
        <v>0</v>
      </c>
      <c r="O24" s="46">
        <f t="shared" si="1"/>
      </c>
      <c r="P24" s="46">
        <f t="shared" si="2"/>
      </c>
      <c r="Q24" s="46">
        <f t="shared" si="3"/>
        <v>0</v>
      </c>
    </row>
    <row r="25" spans="1:17" ht="15.75">
      <c r="A25" s="107"/>
      <c r="B25" s="110"/>
      <c r="C25" s="82" t="s">
        <v>74</v>
      </c>
      <c r="D25" s="7" t="s">
        <v>75</v>
      </c>
      <c r="E25" s="39">
        <v>12884.86</v>
      </c>
      <c r="F25" s="5">
        <f>110819.4+14383.9</f>
        <v>125203.29999999999</v>
      </c>
      <c r="G25" s="5">
        <f>20450+1500</f>
        <v>21950</v>
      </c>
      <c r="H25" s="5">
        <f>7600+1500</f>
        <v>9100</v>
      </c>
      <c r="I25" s="39">
        <v>19860.820000000003</v>
      </c>
      <c r="J25" s="39">
        <v>4076.2299999999996</v>
      </c>
      <c r="K25" s="8">
        <f t="shared" si="4"/>
        <v>6975.960000000003</v>
      </c>
      <c r="L25" s="8">
        <f t="shared" si="5"/>
        <v>-2089.1799999999967</v>
      </c>
      <c r="M25" s="8">
        <f t="shared" si="6"/>
        <v>-105342.47999999998</v>
      </c>
      <c r="N25" s="8">
        <f t="shared" si="0"/>
        <v>-5023.77</v>
      </c>
      <c r="O25" s="46">
        <f t="shared" si="1"/>
        <v>1.5414075123827502</v>
      </c>
      <c r="P25" s="46">
        <f t="shared" si="2"/>
        <v>0.9048209567198179</v>
      </c>
      <c r="Q25" s="46">
        <f t="shared" si="3"/>
        <v>0.15862856649944534</v>
      </c>
    </row>
    <row r="26" spans="1:17" ht="15.75">
      <c r="A26" s="108"/>
      <c r="B26" s="111"/>
      <c r="C26" s="85"/>
      <c r="D26" s="63" t="s">
        <v>11</v>
      </c>
      <c r="E26" s="30">
        <f aca="true" t="shared" si="8" ref="E26:J26">SUM(E23:E25)</f>
        <v>33848.59</v>
      </c>
      <c r="F26" s="30">
        <f t="shared" si="8"/>
        <v>317842.19999999995</v>
      </c>
      <c r="G26" s="30">
        <f t="shared" si="8"/>
        <v>53275</v>
      </c>
      <c r="H26" s="30">
        <f t="shared" si="8"/>
        <v>24725</v>
      </c>
      <c r="I26" s="30">
        <f t="shared" si="8"/>
        <v>50307.82000000001</v>
      </c>
      <c r="J26" s="30">
        <f t="shared" si="8"/>
        <v>12472.16</v>
      </c>
      <c r="K26" s="30">
        <f t="shared" si="4"/>
        <v>16459.23000000001</v>
      </c>
      <c r="L26" s="30">
        <f t="shared" si="5"/>
        <v>-2967.179999999993</v>
      </c>
      <c r="M26" s="30">
        <f t="shared" si="6"/>
        <v>-267534.37999999995</v>
      </c>
      <c r="N26" s="30">
        <f t="shared" si="0"/>
        <v>-12252.84</v>
      </c>
      <c r="O26" s="66">
        <f t="shared" si="1"/>
        <v>1.4862604321184432</v>
      </c>
      <c r="P26" s="66">
        <f t="shared" si="2"/>
        <v>0.9443044580009387</v>
      </c>
      <c r="Q26" s="66">
        <f t="shared" si="3"/>
        <v>0.15827923416085093</v>
      </c>
    </row>
    <row r="27" spans="1:17" ht="31.5">
      <c r="A27" s="101">
        <v>951</v>
      </c>
      <c r="B27" s="101" t="s">
        <v>13</v>
      </c>
      <c r="C27" s="86" t="s">
        <v>120</v>
      </c>
      <c r="D27" s="9" t="s">
        <v>45</v>
      </c>
      <c r="E27" s="40">
        <v>16183.18</v>
      </c>
      <c r="F27" s="5">
        <v>91712.1</v>
      </c>
      <c r="G27" s="5">
        <v>18903</v>
      </c>
      <c r="H27" s="5">
        <v>11120</v>
      </c>
      <c r="I27" s="38">
        <v>14380.88</v>
      </c>
      <c r="J27" s="38">
        <v>7256.23</v>
      </c>
      <c r="K27" s="5">
        <f t="shared" si="4"/>
        <v>-1802.300000000001</v>
      </c>
      <c r="L27" s="5">
        <f t="shared" si="5"/>
        <v>-4522.120000000001</v>
      </c>
      <c r="M27" s="5">
        <f t="shared" si="6"/>
        <v>-77331.22</v>
      </c>
      <c r="N27" s="5">
        <f t="shared" si="0"/>
        <v>-3863.7700000000004</v>
      </c>
      <c r="O27" s="46">
        <f t="shared" si="1"/>
        <v>0.8886312826032955</v>
      </c>
      <c r="P27" s="46">
        <f t="shared" si="2"/>
        <v>0.7607723641749986</v>
      </c>
      <c r="Q27" s="46">
        <f t="shared" si="3"/>
        <v>0.15680460920641875</v>
      </c>
    </row>
    <row r="28" spans="1:17" ht="15.75">
      <c r="A28" s="101"/>
      <c r="B28" s="101"/>
      <c r="C28" s="82" t="s">
        <v>119</v>
      </c>
      <c r="D28" s="7" t="s">
        <v>47</v>
      </c>
      <c r="E28" s="40">
        <v>1709.3</v>
      </c>
      <c r="F28" s="5">
        <v>14224.9</v>
      </c>
      <c r="G28" s="5">
        <v>642.3</v>
      </c>
      <c r="H28" s="5">
        <v>11.1</v>
      </c>
      <c r="I28" s="38">
        <v>633.12</v>
      </c>
      <c r="J28" s="38">
        <v>775.7</v>
      </c>
      <c r="K28" s="5">
        <f t="shared" si="4"/>
        <v>-1076.1799999999998</v>
      </c>
      <c r="L28" s="5">
        <f t="shared" si="5"/>
        <v>-9.17999999999995</v>
      </c>
      <c r="M28" s="5">
        <f t="shared" si="6"/>
        <v>-13591.779999999999</v>
      </c>
      <c r="N28" s="5">
        <f t="shared" si="0"/>
        <v>764.6</v>
      </c>
      <c r="O28" s="46">
        <f t="shared" si="1"/>
        <v>0.37039723863569884</v>
      </c>
      <c r="P28" s="46">
        <f t="shared" si="2"/>
        <v>0.9857076132648296</v>
      </c>
      <c r="Q28" s="46">
        <f t="shared" si="3"/>
        <v>0.04450787000260108</v>
      </c>
    </row>
    <row r="29" spans="1:17" ht="15.75">
      <c r="A29" s="101"/>
      <c r="B29" s="101"/>
      <c r="C29" s="85"/>
      <c r="D29" s="67" t="s">
        <v>11</v>
      </c>
      <c r="E29" s="30">
        <f>E27+E28</f>
        <v>17892.48</v>
      </c>
      <c r="F29" s="30">
        <f>F27+F28</f>
        <v>105937</v>
      </c>
      <c r="G29" s="30">
        <f>G27+G28</f>
        <v>19545.3</v>
      </c>
      <c r="H29" s="30">
        <f>H27+H28</f>
        <v>11131.1</v>
      </c>
      <c r="I29" s="30">
        <f>I27+I28</f>
        <v>15014</v>
      </c>
      <c r="J29" s="30">
        <f>J27+J28</f>
        <v>8031.929999999999</v>
      </c>
      <c r="K29" s="30">
        <f t="shared" si="4"/>
        <v>-2878.4799999999996</v>
      </c>
      <c r="L29" s="30">
        <f t="shared" si="5"/>
        <v>-4531.299999999999</v>
      </c>
      <c r="M29" s="30">
        <f t="shared" si="6"/>
        <v>-90923</v>
      </c>
      <c r="N29" s="30">
        <f t="shared" si="0"/>
        <v>-3099.170000000001</v>
      </c>
      <c r="O29" s="66">
        <f t="shared" si="1"/>
        <v>0.8391234753371248</v>
      </c>
      <c r="P29" s="66">
        <f t="shared" si="2"/>
        <v>0.7681642133914548</v>
      </c>
      <c r="Q29" s="66">
        <f t="shared" si="3"/>
        <v>0.14172574265837243</v>
      </c>
    </row>
    <row r="30" spans="1:17" ht="15.75">
      <c r="A30" s="115" t="s">
        <v>48</v>
      </c>
      <c r="B30" s="101" t="s">
        <v>49</v>
      </c>
      <c r="C30" s="82" t="s">
        <v>50</v>
      </c>
      <c r="D30" s="7" t="s">
        <v>51</v>
      </c>
      <c r="E30" s="39"/>
      <c r="F30" s="3">
        <v>496</v>
      </c>
      <c r="G30" s="3">
        <f>H30</f>
        <v>0</v>
      </c>
      <c r="H30" s="3">
        <v>0</v>
      </c>
      <c r="I30" s="39">
        <v>0</v>
      </c>
      <c r="J30" s="39">
        <v>0</v>
      </c>
      <c r="K30" s="3">
        <f t="shared" si="4"/>
        <v>0</v>
      </c>
      <c r="L30" s="3">
        <f t="shared" si="5"/>
        <v>0</v>
      </c>
      <c r="M30" s="3">
        <f t="shared" si="6"/>
        <v>-496</v>
      </c>
      <c r="N30" s="3">
        <f t="shared" si="0"/>
        <v>0</v>
      </c>
      <c r="O30" s="46">
        <f t="shared" si="1"/>
      </c>
      <c r="P30" s="46">
        <f t="shared" si="2"/>
      </c>
      <c r="Q30" s="46">
        <f t="shared" si="3"/>
        <v>0</v>
      </c>
    </row>
    <row r="31" spans="1:17" ht="15.75">
      <c r="A31" s="115"/>
      <c r="B31" s="101"/>
      <c r="C31" s="82" t="s">
        <v>52</v>
      </c>
      <c r="D31" s="10" t="s">
        <v>53</v>
      </c>
      <c r="E31" s="39">
        <v>15015.81</v>
      </c>
      <c r="F31" s="3">
        <v>100081.7</v>
      </c>
      <c r="G31" s="3">
        <v>21000</v>
      </c>
      <c r="H31" s="3">
        <v>8500</v>
      </c>
      <c r="I31" s="39">
        <v>16957.44</v>
      </c>
      <c r="J31" s="39">
        <v>2266.05</v>
      </c>
      <c r="K31" s="3">
        <f t="shared" si="4"/>
        <v>1941.6299999999992</v>
      </c>
      <c r="L31" s="3">
        <f t="shared" si="5"/>
        <v>-4042.5600000000013</v>
      </c>
      <c r="M31" s="3">
        <f t="shared" si="6"/>
        <v>-83124.26</v>
      </c>
      <c r="N31" s="3">
        <f t="shared" si="0"/>
        <v>-6233.95</v>
      </c>
      <c r="O31" s="46">
        <f t="shared" si="1"/>
        <v>1.129305711779784</v>
      </c>
      <c r="P31" s="46">
        <f t="shared" si="2"/>
        <v>0.8074971428571428</v>
      </c>
      <c r="Q31" s="46">
        <f t="shared" si="3"/>
        <v>0.16943597081184672</v>
      </c>
    </row>
    <row r="32" spans="1:17" ht="15.75">
      <c r="A32" s="115"/>
      <c r="B32" s="101"/>
      <c r="C32" s="86" t="s">
        <v>44</v>
      </c>
      <c r="D32" s="9" t="s">
        <v>54</v>
      </c>
      <c r="E32" s="39">
        <v>139.25</v>
      </c>
      <c r="F32" s="3">
        <v>557</v>
      </c>
      <c r="G32" s="3">
        <v>139.2</v>
      </c>
      <c r="H32" s="3">
        <v>46.4</v>
      </c>
      <c r="I32" s="39">
        <v>2471.05</v>
      </c>
      <c r="J32" s="39">
        <v>709.02</v>
      </c>
      <c r="K32" s="3">
        <f t="shared" si="4"/>
        <v>2331.8</v>
      </c>
      <c r="L32" s="3">
        <f t="shared" si="5"/>
        <v>2331.8500000000004</v>
      </c>
      <c r="M32" s="3">
        <f t="shared" si="6"/>
        <v>1914.0500000000002</v>
      </c>
      <c r="N32" s="3">
        <f t="shared" si="0"/>
        <v>662.62</v>
      </c>
      <c r="O32" s="46">
        <f t="shared" si="1"/>
        <v>17.745421903052065</v>
      </c>
      <c r="P32" s="46">
        <f t="shared" si="2"/>
        <v>17.751795977011497</v>
      </c>
      <c r="Q32" s="46">
        <f t="shared" si="3"/>
        <v>4.436355475763016</v>
      </c>
    </row>
    <row r="33" spans="1:17" ht="15.75">
      <c r="A33" s="115"/>
      <c r="B33" s="101"/>
      <c r="C33" s="86" t="s">
        <v>55</v>
      </c>
      <c r="D33" s="9" t="s">
        <v>56</v>
      </c>
      <c r="E33" s="5">
        <v>11366.27</v>
      </c>
      <c r="F33" s="5">
        <f>F34+F36+F35</f>
        <v>171171.1</v>
      </c>
      <c r="G33" s="5">
        <f>G34+G36+G35</f>
        <v>98514.00000000001</v>
      </c>
      <c r="H33" s="5">
        <f>H34+H36+H35</f>
        <v>91778.70000000001</v>
      </c>
      <c r="I33" s="5">
        <v>131372.4</v>
      </c>
      <c r="J33" s="5">
        <v>3088.2799999999997</v>
      </c>
      <c r="K33" s="11">
        <f t="shared" si="4"/>
        <v>120006.12999999999</v>
      </c>
      <c r="L33" s="11">
        <f t="shared" si="5"/>
        <v>32858.39999999998</v>
      </c>
      <c r="M33" s="11">
        <f t="shared" si="6"/>
        <v>-39798.70000000001</v>
      </c>
      <c r="N33" s="11">
        <f t="shared" si="0"/>
        <v>-88690.42000000001</v>
      </c>
      <c r="O33" s="46">
        <f t="shared" si="1"/>
        <v>11.558092496483015</v>
      </c>
      <c r="P33" s="46">
        <f t="shared" si="2"/>
        <v>1.3335404105000301</v>
      </c>
      <c r="Q33" s="46">
        <f t="shared" si="3"/>
        <v>0.7674917085886577</v>
      </c>
    </row>
    <row r="34" spans="1:17" ht="15.75">
      <c r="A34" s="115"/>
      <c r="B34" s="101"/>
      <c r="C34" s="87" t="s">
        <v>122</v>
      </c>
      <c r="D34" s="12" t="s">
        <v>57</v>
      </c>
      <c r="E34" s="41">
        <v>3336.83</v>
      </c>
      <c r="F34" s="13">
        <v>48594.6</v>
      </c>
      <c r="G34" s="13">
        <v>3862.8</v>
      </c>
      <c r="H34" s="13">
        <v>1510</v>
      </c>
      <c r="I34" s="41">
        <v>122113.01</v>
      </c>
      <c r="J34" s="41">
        <v>0</v>
      </c>
      <c r="K34" s="13">
        <f t="shared" si="4"/>
        <v>118776.18</v>
      </c>
      <c r="L34" s="13">
        <f t="shared" si="5"/>
        <v>118250.20999999999</v>
      </c>
      <c r="M34" s="13">
        <f t="shared" si="6"/>
        <v>73518.41</v>
      </c>
      <c r="N34" s="13">
        <f t="shared" si="0"/>
        <v>-1510</v>
      </c>
      <c r="O34" s="46">
        <f t="shared" si="1"/>
        <v>36.59551430549354</v>
      </c>
      <c r="P34" s="46">
        <f t="shared" si="2"/>
        <v>31.612563425494457</v>
      </c>
      <c r="Q34" s="46">
        <f t="shared" si="3"/>
        <v>2.5128925847727936</v>
      </c>
    </row>
    <row r="35" spans="1:17" ht="15.75">
      <c r="A35" s="115"/>
      <c r="B35" s="101"/>
      <c r="C35" s="87" t="s">
        <v>123</v>
      </c>
      <c r="D35" s="12" t="s">
        <v>58</v>
      </c>
      <c r="E35" s="41">
        <v>106.51</v>
      </c>
      <c r="F35" s="13">
        <v>1867.8</v>
      </c>
      <c r="G35" s="13">
        <v>160.3</v>
      </c>
      <c r="H35" s="13">
        <v>160.3</v>
      </c>
      <c r="I35" s="41">
        <v>560</v>
      </c>
      <c r="J35" s="41">
        <v>0</v>
      </c>
      <c r="K35" s="13">
        <f t="shared" si="4"/>
        <v>453.49</v>
      </c>
      <c r="L35" s="13">
        <f t="shared" si="5"/>
        <v>399.7</v>
      </c>
      <c r="M35" s="13">
        <f t="shared" si="6"/>
        <v>-1307.8</v>
      </c>
      <c r="N35" s="13">
        <f t="shared" si="0"/>
        <v>-160.3</v>
      </c>
      <c r="O35" s="46">
        <f t="shared" si="1"/>
        <v>5.25772227959816</v>
      </c>
      <c r="P35" s="46">
        <f t="shared" si="2"/>
        <v>3.4934497816593884</v>
      </c>
      <c r="Q35" s="46">
        <f t="shared" si="3"/>
        <v>0.29981796766249064</v>
      </c>
    </row>
    <row r="36" spans="1:17" ht="15.75">
      <c r="A36" s="115"/>
      <c r="B36" s="101"/>
      <c r="C36" s="87" t="s">
        <v>121</v>
      </c>
      <c r="D36" s="12" t="s">
        <v>59</v>
      </c>
      <c r="E36" s="30">
        <v>7922.93</v>
      </c>
      <c r="F36" s="5">
        <f>35078.4+85630.3</f>
        <v>120708.70000000001</v>
      </c>
      <c r="G36" s="5">
        <f>8860.6+85630.3</f>
        <v>94490.90000000001</v>
      </c>
      <c r="H36" s="5">
        <f>4478.1+85630.3</f>
        <v>90108.40000000001</v>
      </c>
      <c r="I36" s="30">
        <v>8699.39</v>
      </c>
      <c r="J36" s="41">
        <v>3088.2799999999997</v>
      </c>
      <c r="K36" s="13">
        <f t="shared" si="4"/>
        <v>776.4599999999991</v>
      </c>
      <c r="L36" s="13">
        <f t="shared" si="5"/>
        <v>-85791.51000000001</v>
      </c>
      <c r="M36" s="13">
        <f t="shared" si="6"/>
        <v>-112009.31000000001</v>
      </c>
      <c r="N36" s="13">
        <f t="shared" si="0"/>
        <v>-87020.12000000001</v>
      </c>
      <c r="O36" s="46">
        <f t="shared" si="1"/>
        <v>1.098001623136895</v>
      </c>
      <c r="P36" s="46">
        <f t="shared" si="2"/>
        <v>0.09206590264247667</v>
      </c>
      <c r="Q36" s="46">
        <f t="shared" si="3"/>
        <v>0.07206928746643779</v>
      </c>
    </row>
    <row r="37" spans="1:17" ht="15.75">
      <c r="A37" s="115"/>
      <c r="B37" s="115"/>
      <c r="C37" s="85"/>
      <c r="D37" s="67" t="s">
        <v>11</v>
      </c>
      <c r="E37" s="30">
        <f>SUM(E30:E33)</f>
        <v>26521.33</v>
      </c>
      <c r="F37" s="30">
        <f>SUM(F30:F33)</f>
        <v>272305.8</v>
      </c>
      <c r="G37" s="30">
        <f>SUM(G30:G33)</f>
        <v>119653.20000000001</v>
      </c>
      <c r="H37" s="30">
        <f>SUM(H30:H33)</f>
        <v>100325.1</v>
      </c>
      <c r="I37" s="30">
        <f>SUM(I30:I33)</f>
        <v>150800.88999999998</v>
      </c>
      <c r="J37" s="30">
        <f>SUM(J30:J33)</f>
        <v>6063.35</v>
      </c>
      <c r="K37" s="30">
        <f t="shared" si="4"/>
        <v>124279.55999999998</v>
      </c>
      <c r="L37" s="30">
        <f t="shared" si="5"/>
        <v>31147.689999999973</v>
      </c>
      <c r="M37" s="30">
        <f t="shared" si="6"/>
        <v>-121504.91</v>
      </c>
      <c r="N37" s="30">
        <f aca="true" t="shared" si="9" ref="N37:N63">J37-H37</f>
        <v>-94261.75</v>
      </c>
      <c r="O37" s="66">
        <f aca="true" t="shared" si="10" ref="O37:O63">_xlfn.IFERROR(I37/E37,"")</f>
        <v>5.686022910615718</v>
      </c>
      <c r="P37" s="66">
        <f aca="true" t="shared" si="11" ref="P37:P63">_xlfn.IFERROR(I37/G37,"")</f>
        <v>1.2603163977227518</v>
      </c>
      <c r="Q37" s="66">
        <f aca="true" t="shared" si="12" ref="Q37:Q63">_xlfn.IFERROR(I37/F37,"")</f>
        <v>0.5537924274841005</v>
      </c>
    </row>
    <row r="38" spans="1:17" ht="31.5">
      <c r="A38" s="115" t="s">
        <v>104</v>
      </c>
      <c r="B38" s="101" t="s">
        <v>21</v>
      </c>
      <c r="C38" s="86" t="s">
        <v>134</v>
      </c>
      <c r="D38" s="9" t="s">
        <v>61</v>
      </c>
      <c r="E38" s="40">
        <v>86048.28</v>
      </c>
      <c r="F38" s="5">
        <v>326627.4</v>
      </c>
      <c r="G38" s="5">
        <v>94600.5</v>
      </c>
      <c r="H38" s="5">
        <v>40000</v>
      </c>
      <c r="I38" s="40">
        <v>85448.46</v>
      </c>
      <c r="J38" s="40">
        <v>22263.06</v>
      </c>
      <c r="K38" s="11">
        <f t="shared" si="4"/>
        <v>-599.8199999999924</v>
      </c>
      <c r="L38" s="11">
        <f t="shared" si="5"/>
        <v>-9152.039999999994</v>
      </c>
      <c r="M38" s="11">
        <f t="shared" si="6"/>
        <v>-241178.94</v>
      </c>
      <c r="N38" s="11">
        <f t="shared" si="9"/>
        <v>-17736.94</v>
      </c>
      <c r="O38" s="46">
        <f t="shared" si="10"/>
        <v>0.9930292621770012</v>
      </c>
      <c r="P38" s="46">
        <f t="shared" si="11"/>
        <v>0.903255902452947</v>
      </c>
      <c r="Q38" s="46">
        <f t="shared" si="12"/>
        <v>0.2616083647605804</v>
      </c>
    </row>
    <row r="39" spans="1:17" ht="31.5">
      <c r="A39" s="115"/>
      <c r="B39" s="101"/>
      <c r="C39" s="86" t="s">
        <v>132</v>
      </c>
      <c r="D39" s="9" t="s">
        <v>62</v>
      </c>
      <c r="E39" s="40">
        <v>6520.75</v>
      </c>
      <c r="F39" s="5">
        <f>245061.4+9204.6</f>
        <v>254266</v>
      </c>
      <c r="G39" s="5">
        <v>43700</v>
      </c>
      <c r="H39" s="5">
        <v>24300</v>
      </c>
      <c r="I39" s="40">
        <v>35786.84</v>
      </c>
      <c r="J39" s="40">
        <v>11402.1</v>
      </c>
      <c r="K39" s="11">
        <f t="shared" si="4"/>
        <v>29266.089999999997</v>
      </c>
      <c r="L39" s="11">
        <f t="shared" si="5"/>
        <v>-7913.1600000000035</v>
      </c>
      <c r="M39" s="11">
        <f t="shared" si="6"/>
        <v>-218479.16</v>
      </c>
      <c r="N39" s="11">
        <f t="shared" si="9"/>
        <v>-12897.9</v>
      </c>
      <c r="O39" s="46">
        <f t="shared" si="10"/>
        <v>5.488147835755089</v>
      </c>
      <c r="P39" s="46">
        <f t="shared" si="11"/>
        <v>0.818920823798627</v>
      </c>
      <c r="Q39" s="46">
        <f t="shared" si="12"/>
        <v>0.14074567578834762</v>
      </c>
    </row>
    <row r="40" spans="1:17" ht="31.5">
      <c r="A40" s="115"/>
      <c r="B40" s="101"/>
      <c r="C40" s="82" t="s">
        <v>137</v>
      </c>
      <c r="D40" s="7" t="s">
        <v>63</v>
      </c>
      <c r="E40" s="40">
        <v>15389.71</v>
      </c>
      <c r="F40" s="5">
        <f>48566.2-5534.78</f>
        <v>43031.42</v>
      </c>
      <c r="G40" s="5">
        <f>13800-2460</f>
        <v>11340</v>
      </c>
      <c r="H40" s="5">
        <f>6400-2460</f>
        <v>3940</v>
      </c>
      <c r="I40" s="40">
        <v>12200.95</v>
      </c>
      <c r="J40" s="40">
        <v>5622.85</v>
      </c>
      <c r="K40" s="5">
        <f t="shared" si="4"/>
        <v>-3188.7599999999984</v>
      </c>
      <c r="L40" s="5">
        <f t="shared" si="5"/>
        <v>860.9500000000007</v>
      </c>
      <c r="M40" s="5">
        <f t="shared" si="6"/>
        <v>-30830.469999999998</v>
      </c>
      <c r="N40" s="5">
        <f t="shared" si="9"/>
        <v>1682.8500000000004</v>
      </c>
      <c r="O40" s="46">
        <f t="shared" si="10"/>
        <v>0.7927992145401052</v>
      </c>
      <c r="P40" s="46">
        <f t="shared" si="11"/>
        <v>1.0759215167548501</v>
      </c>
      <c r="Q40" s="46">
        <f t="shared" si="12"/>
        <v>0.2835358442737888</v>
      </c>
    </row>
    <row r="41" spans="1:17" ht="31.5">
      <c r="A41" s="116"/>
      <c r="B41" s="118"/>
      <c r="C41" s="88" t="s">
        <v>110</v>
      </c>
      <c r="D41" s="14" t="s">
        <v>111</v>
      </c>
      <c r="E41" s="40">
        <v>1412.98</v>
      </c>
      <c r="F41" s="5">
        <v>2948.3</v>
      </c>
      <c r="G41" s="5">
        <v>1412.3</v>
      </c>
      <c r="H41" s="5">
        <v>1412.3</v>
      </c>
      <c r="I41" s="40">
        <v>1504.1799999999998</v>
      </c>
      <c r="J41" s="40">
        <v>12.17</v>
      </c>
      <c r="K41" s="5">
        <f t="shared" si="4"/>
        <v>91.19999999999982</v>
      </c>
      <c r="L41" s="5">
        <f t="shared" si="5"/>
        <v>91.87999999999988</v>
      </c>
      <c r="M41" s="5">
        <f t="shared" si="6"/>
        <v>-1444.1200000000003</v>
      </c>
      <c r="N41" s="5">
        <f t="shared" si="9"/>
        <v>-1400.1299999999999</v>
      </c>
      <c r="O41" s="46">
        <f t="shared" si="10"/>
        <v>1.0645444379962914</v>
      </c>
      <c r="P41" s="46">
        <f t="shared" si="11"/>
        <v>1.0650569992211285</v>
      </c>
      <c r="Q41" s="46">
        <f t="shared" si="12"/>
        <v>0.5101855306447782</v>
      </c>
    </row>
    <row r="42" spans="1:17" ht="15.75">
      <c r="A42" s="117"/>
      <c r="B42" s="119"/>
      <c r="C42" s="89" t="s">
        <v>125</v>
      </c>
      <c r="D42" s="15" t="s">
        <v>124</v>
      </c>
      <c r="E42" s="40">
        <v>56.27</v>
      </c>
      <c r="F42" s="5"/>
      <c r="G42" s="5"/>
      <c r="H42" s="5"/>
      <c r="I42" s="40">
        <v>33.89</v>
      </c>
      <c r="J42" s="40">
        <v>23.25</v>
      </c>
      <c r="K42" s="5">
        <f t="shared" si="4"/>
        <v>-22.380000000000003</v>
      </c>
      <c r="L42" s="5">
        <f t="shared" si="5"/>
        <v>33.89</v>
      </c>
      <c r="M42" s="5">
        <f t="shared" si="6"/>
        <v>33.89</v>
      </c>
      <c r="N42" s="5">
        <f t="shared" si="9"/>
        <v>23.25</v>
      </c>
      <c r="O42" s="46">
        <f t="shared" si="10"/>
        <v>0.6022747467567087</v>
      </c>
      <c r="P42" s="46">
        <f t="shared" si="11"/>
      </c>
      <c r="Q42" s="46">
        <f t="shared" si="12"/>
      </c>
    </row>
    <row r="43" spans="1:17" ht="47.25">
      <c r="A43" s="115"/>
      <c r="B43" s="101"/>
      <c r="C43" s="86" t="s">
        <v>64</v>
      </c>
      <c r="D43" s="9" t="s">
        <v>65</v>
      </c>
      <c r="E43" s="40">
        <v>28819.3</v>
      </c>
      <c r="F43" s="3">
        <v>104142</v>
      </c>
      <c r="G43" s="3">
        <v>15840</v>
      </c>
      <c r="H43" s="3">
        <v>8000</v>
      </c>
      <c r="I43" s="40">
        <v>46525.63</v>
      </c>
      <c r="J43" s="40">
        <v>5248.52</v>
      </c>
      <c r="K43" s="3">
        <f t="shared" si="4"/>
        <v>17706.329999999998</v>
      </c>
      <c r="L43" s="3">
        <f t="shared" si="5"/>
        <v>30685.629999999997</v>
      </c>
      <c r="M43" s="3">
        <f t="shared" si="6"/>
        <v>-57616.37</v>
      </c>
      <c r="N43" s="3">
        <f t="shared" si="9"/>
        <v>-2751.4799999999996</v>
      </c>
      <c r="O43" s="46">
        <f t="shared" si="10"/>
        <v>1.6143913974315822</v>
      </c>
      <c r="P43" s="46">
        <f t="shared" si="11"/>
        <v>2.937224116161616</v>
      </c>
      <c r="Q43" s="46">
        <f t="shared" si="12"/>
        <v>0.44675183883543623</v>
      </c>
    </row>
    <row r="44" spans="1:17" s="44" customFormat="1" ht="31.5">
      <c r="A44" s="115"/>
      <c r="B44" s="101"/>
      <c r="C44" s="86" t="s">
        <v>66</v>
      </c>
      <c r="D44" s="9" t="s">
        <v>67</v>
      </c>
      <c r="E44" s="40">
        <v>13946.06</v>
      </c>
      <c r="F44" s="3"/>
      <c r="G44" s="3"/>
      <c r="H44" s="3"/>
      <c r="I44" s="40">
        <v>0</v>
      </c>
      <c r="J44" s="40"/>
      <c r="K44" s="3">
        <f t="shared" si="4"/>
        <v>-13946.06</v>
      </c>
      <c r="L44" s="3">
        <f t="shared" si="5"/>
        <v>0</v>
      </c>
      <c r="M44" s="3">
        <f t="shared" si="6"/>
        <v>0</v>
      </c>
      <c r="N44" s="3">
        <f t="shared" si="9"/>
        <v>0</v>
      </c>
      <c r="O44" s="49">
        <f t="shared" si="10"/>
        <v>0</v>
      </c>
      <c r="P44" s="49">
        <f t="shared" si="11"/>
      </c>
      <c r="Q44" s="49">
        <f t="shared" si="12"/>
      </c>
    </row>
    <row r="45" spans="1:17" ht="31.5">
      <c r="A45" s="115"/>
      <c r="B45" s="101"/>
      <c r="C45" s="86" t="s">
        <v>68</v>
      </c>
      <c r="D45" s="9" t="s">
        <v>69</v>
      </c>
      <c r="E45" s="39">
        <v>13946.06</v>
      </c>
      <c r="F45" s="3">
        <v>45272.2</v>
      </c>
      <c r="G45" s="3">
        <v>5400</v>
      </c>
      <c r="H45" s="3">
        <v>2200</v>
      </c>
      <c r="I45" s="39">
        <v>14793.46</v>
      </c>
      <c r="J45" s="39">
        <v>2093.19</v>
      </c>
      <c r="K45" s="3">
        <f t="shared" si="4"/>
        <v>847.3999999999996</v>
      </c>
      <c r="L45" s="3">
        <f t="shared" si="5"/>
        <v>9393.46</v>
      </c>
      <c r="M45" s="3">
        <f t="shared" si="6"/>
        <v>-30478.739999999998</v>
      </c>
      <c r="N45" s="3">
        <f t="shared" si="9"/>
        <v>-106.80999999999995</v>
      </c>
      <c r="O45" s="46">
        <f t="shared" si="10"/>
        <v>1.0607626813594664</v>
      </c>
      <c r="P45" s="46">
        <f t="shared" si="11"/>
        <v>2.7395296296296294</v>
      </c>
      <c r="Q45" s="46">
        <f t="shared" si="12"/>
        <v>0.32676697841059194</v>
      </c>
    </row>
    <row r="46" spans="1:17" ht="15.75">
      <c r="A46" s="115"/>
      <c r="B46" s="115"/>
      <c r="C46" s="90"/>
      <c r="D46" s="67" t="s">
        <v>11</v>
      </c>
      <c r="E46" s="30">
        <f>SUBTOTAL(9,E38:E45)</f>
        <v>166139.40999999997</v>
      </c>
      <c r="F46" s="30">
        <f>SUM(F38:F45)</f>
        <v>776287.3200000001</v>
      </c>
      <c r="G46" s="30">
        <f>SUM(G38:G45)</f>
        <v>172292.8</v>
      </c>
      <c r="H46" s="30">
        <f>SUM(H38:H45)</f>
        <v>79852.3</v>
      </c>
      <c r="I46" s="30">
        <f>SUM(I38:I45)</f>
        <v>196293.41</v>
      </c>
      <c r="J46" s="30">
        <f>SUM(J38:J45)</f>
        <v>46665.14</v>
      </c>
      <c r="K46" s="30">
        <f t="shared" si="4"/>
        <v>30154.00000000003</v>
      </c>
      <c r="L46" s="30">
        <f t="shared" si="5"/>
        <v>24000.610000000015</v>
      </c>
      <c r="M46" s="30">
        <f t="shared" si="6"/>
        <v>-579993.91</v>
      </c>
      <c r="N46" s="30">
        <f t="shared" si="9"/>
        <v>-33187.16</v>
      </c>
      <c r="O46" s="46">
        <f t="shared" si="10"/>
        <v>1.1814981767420507</v>
      </c>
      <c r="P46" s="46">
        <f t="shared" si="11"/>
        <v>1.139301294076131</v>
      </c>
      <c r="Q46" s="46">
        <f t="shared" si="12"/>
        <v>0.25286180122071295</v>
      </c>
    </row>
    <row r="47" spans="1:17" ht="15.75">
      <c r="A47" s="115" t="s">
        <v>70</v>
      </c>
      <c r="B47" s="101" t="s">
        <v>71</v>
      </c>
      <c r="C47" s="82" t="s">
        <v>42</v>
      </c>
      <c r="D47" s="7" t="s">
        <v>43</v>
      </c>
      <c r="E47" s="39"/>
      <c r="F47" s="3">
        <v>4487</v>
      </c>
      <c r="G47" s="3">
        <f>H47</f>
        <v>0</v>
      </c>
      <c r="H47" s="3">
        <v>0</v>
      </c>
      <c r="I47" s="39">
        <v>2731.14</v>
      </c>
      <c r="J47" s="39">
        <v>2731.14</v>
      </c>
      <c r="K47" s="8">
        <f t="shared" si="4"/>
        <v>2731.14</v>
      </c>
      <c r="L47" s="8">
        <f t="shared" si="5"/>
        <v>2731.14</v>
      </c>
      <c r="M47" s="8">
        <f t="shared" si="6"/>
        <v>-1755.8600000000001</v>
      </c>
      <c r="N47" s="8">
        <f t="shared" si="9"/>
        <v>2731.14</v>
      </c>
      <c r="O47" s="46">
        <f t="shared" si="10"/>
      </c>
      <c r="P47" s="46">
        <f t="shared" si="11"/>
      </c>
      <c r="Q47" s="46">
        <f t="shared" si="12"/>
        <v>0.6086784042790283</v>
      </c>
    </row>
    <row r="48" spans="1:17" ht="15.75">
      <c r="A48" s="115"/>
      <c r="B48" s="101"/>
      <c r="C48" s="90"/>
      <c r="D48" s="68" t="s">
        <v>11</v>
      </c>
      <c r="E48" s="30">
        <f aca="true" t="shared" si="13" ref="E48:J48">SUM(E47:E47)</f>
        <v>0</v>
      </c>
      <c r="F48" s="69">
        <f t="shared" si="13"/>
        <v>4487</v>
      </c>
      <c r="G48" s="69">
        <f t="shared" si="13"/>
        <v>0</v>
      </c>
      <c r="H48" s="69">
        <f t="shared" si="13"/>
        <v>0</v>
      </c>
      <c r="I48" s="69">
        <f t="shared" si="13"/>
        <v>2731.14</v>
      </c>
      <c r="J48" s="69">
        <f t="shared" si="13"/>
        <v>2731.14</v>
      </c>
      <c r="K48" s="70">
        <f t="shared" si="4"/>
        <v>2731.14</v>
      </c>
      <c r="L48" s="70">
        <f t="shared" si="5"/>
        <v>2731.14</v>
      </c>
      <c r="M48" s="70">
        <f t="shared" si="6"/>
        <v>-1755.8600000000001</v>
      </c>
      <c r="N48" s="70">
        <f t="shared" si="9"/>
        <v>2731.14</v>
      </c>
      <c r="O48" s="46">
        <f t="shared" si="10"/>
      </c>
      <c r="P48" s="46">
        <f t="shared" si="11"/>
      </c>
      <c r="Q48" s="46">
        <f t="shared" si="12"/>
        <v>0.6086784042790283</v>
      </c>
    </row>
    <row r="49" spans="1:17" ht="15.75">
      <c r="A49" s="106"/>
      <c r="B49" s="109"/>
      <c r="C49" s="91" t="s">
        <v>115</v>
      </c>
      <c r="D49" s="16" t="s">
        <v>136</v>
      </c>
      <c r="E49" s="39">
        <v>76094.24</v>
      </c>
      <c r="F49" s="3">
        <v>537127.7</v>
      </c>
      <c r="G49" s="3">
        <v>122528.59999999999</v>
      </c>
      <c r="H49" s="3">
        <v>44219.6</v>
      </c>
      <c r="I49" s="39">
        <v>116449.96</v>
      </c>
      <c r="J49" s="39">
        <v>22010.8</v>
      </c>
      <c r="K49" s="8">
        <f t="shared" si="4"/>
        <v>40355.72</v>
      </c>
      <c r="L49" s="8">
        <f t="shared" si="5"/>
        <v>-6078.639999999985</v>
      </c>
      <c r="M49" s="8">
        <f t="shared" si="6"/>
        <v>-420677.73999999993</v>
      </c>
      <c r="N49" s="8">
        <f t="shared" si="9"/>
        <v>-22208.8</v>
      </c>
      <c r="O49" s="46">
        <f t="shared" si="10"/>
        <v>1.5303386958066734</v>
      </c>
      <c r="P49" s="46">
        <f t="shared" si="11"/>
        <v>0.9503900313885902</v>
      </c>
      <c r="Q49" s="46">
        <f t="shared" si="12"/>
        <v>0.21680125601416575</v>
      </c>
    </row>
    <row r="50" spans="1:17" ht="15.75">
      <c r="A50" s="120"/>
      <c r="B50" s="121"/>
      <c r="C50" s="91" t="s">
        <v>116</v>
      </c>
      <c r="D50" s="16" t="s">
        <v>112</v>
      </c>
      <c r="E50" s="39">
        <v>60020.92</v>
      </c>
      <c r="F50" s="39">
        <v>354489</v>
      </c>
      <c r="G50" s="39">
        <v>92821.6</v>
      </c>
      <c r="H50" s="39">
        <v>30416.9</v>
      </c>
      <c r="I50" s="39">
        <v>69850.5</v>
      </c>
      <c r="J50" s="39">
        <v>11619.29</v>
      </c>
      <c r="K50" s="17">
        <f t="shared" si="4"/>
        <v>9829.580000000002</v>
      </c>
      <c r="L50" s="17">
        <f t="shared" si="5"/>
        <v>-22971.100000000006</v>
      </c>
      <c r="M50" s="17">
        <f t="shared" si="6"/>
        <v>-284638.5</v>
      </c>
      <c r="N50" s="17">
        <f t="shared" si="9"/>
        <v>-18797.61</v>
      </c>
      <c r="O50" s="46">
        <f t="shared" si="10"/>
        <v>1.1637692324609485</v>
      </c>
      <c r="P50" s="46">
        <f t="shared" si="11"/>
        <v>0.7525241969541572</v>
      </c>
      <c r="Q50" s="46">
        <f t="shared" si="12"/>
        <v>0.19704560649272615</v>
      </c>
    </row>
    <row r="51" spans="1:17" ht="31.5">
      <c r="A51" s="106"/>
      <c r="B51" s="109"/>
      <c r="C51" s="91" t="s">
        <v>117</v>
      </c>
      <c r="D51" s="16" t="s">
        <v>113</v>
      </c>
      <c r="E51" s="39">
        <v>679792.06</v>
      </c>
      <c r="F51" s="5">
        <f>3510723.4+35171.1</f>
        <v>3545894.5</v>
      </c>
      <c r="G51" s="5">
        <v>746501.5</v>
      </c>
      <c r="H51" s="5">
        <v>285700.8</v>
      </c>
      <c r="I51" s="39">
        <v>740993.05</v>
      </c>
      <c r="J51" s="39">
        <v>183759.01</v>
      </c>
      <c r="K51" s="8">
        <f t="shared" si="4"/>
        <v>61200.98999999999</v>
      </c>
      <c r="L51" s="8">
        <f t="shared" si="5"/>
        <v>-5508.449999999953</v>
      </c>
      <c r="M51" s="8">
        <f t="shared" si="6"/>
        <v>-2804901.45</v>
      </c>
      <c r="N51" s="8">
        <f t="shared" si="9"/>
        <v>-101941.78999999998</v>
      </c>
      <c r="O51" s="46">
        <f t="shared" si="10"/>
        <v>1.0900289862167558</v>
      </c>
      <c r="P51" s="46">
        <f t="shared" si="11"/>
        <v>0.9926209793282399</v>
      </c>
      <c r="Q51" s="46">
        <f t="shared" si="12"/>
        <v>0.208972108448235</v>
      </c>
    </row>
    <row r="52" spans="1:17" ht="31.5">
      <c r="A52" s="120"/>
      <c r="B52" s="121"/>
      <c r="C52" s="91" t="s">
        <v>133</v>
      </c>
      <c r="D52" s="16" t="s">
        <v>114</v>
      </c>
      <c r="E52" s="39">
        <v>849.4</v>
      </c>
      <c r="F52" s="3"/>
      <c r="G52" s="3"/>
      <c r="H52" s="3"/>
      <c r="I52" s="39">
        <v>316.57</v>
      </c>
      <c r="J52" s="39">
        <v>80.82</v>
      </c>
      <c r="K52" s="8">
        <f t="shared" si="4"/>
        <v>-532.8299999999999</v>
      </c>
      <c r="L52" s="8">
        <f t="shared" si="5"/>
        <v>316.57</v>
      </c>
      <c r="M52" s="8">
        <f t="shared" si="6"/>
        <v>316.57</v>
      </c>
      <c r="N52" s="8">
        <f t="shared" si="9"/>
        <v>80.82</v>
      </c>
      <c r="O52" s="46">
        <f t="shared" si="10"/>
        <v>0.37269837532375794</v>
      </c>
      <c r="P52" s="46">
        <f t="shared" si="11"/>
      </c>
      <c r="Q52" s="46">
        <f t="shared" si="12"/>
      </c>
    </row>
    <row r="53" spans="1:17" ht="15.75">
      <c r="A53" s="106"/>
      <c r="B53" s="109"/>
      <c r="C53" s="92"/>
      <c r="D53" s="71" t="s">
        <v>11</v>
      </c>
      <c r="E53" s="72">
        <f aca="true" t="shared" si="14" ref="E53:J53">SUM(E49:E52)</f>
        <v>816756.6200000001</v>
      </c>
      <c r="F53" s="72">
        <f t="shared" si="14"/>
        <v>4437511.2</v>
      </c>
      <c r="G53" s="72">
        <f t="shared" si="14"/>
        <v>961851.7</v>
      </c>
      <c r="H53" s="72">
        <f t="shared" si="14"/>
        <v>360337.3</v>
      </c>
      <c r="I53" s="72">
        <f t="shared" si="14"/>
        <v>927610.08</v>
      </c>
      <c r="J53" s="72">
        <f t="shared" si="14"/>
        <v>217469.92</v>
      </c>
      <c r="K53" s="72">
        <f t="shared" si="4"/>
        <v>110853.45999999985</v>
      </c>
      <c r="L53" s="72">
        <f t="shared" si="5"/>
        <v>-34241.619999999995</v>
      </c>
      <c r="M53" s="72">
        <f t="shared" si="6"/>
        <v>-3509901.12</v>
      </c>
      <c r="N53" s="72">
        <f t="shared" si="9"/>
        <v>-142867.37999999998</v>
      </c>
      <c r="O53" s="46">
        <f t="shared" si="10"/>
        <v>1.1357239810312156</v>
      </c>
      <c r="P53" s="46">
        <f t="shared" si="11"/>
        <v>0.9644003124390174</v>
      </c>
      <c r="Q53" s="46">
        <f t="shared" si="12"/>
        <v>0.20903836366655254</v>
      </c>
    </row>
    <row r="54" spans="1:17" ht="15.75">
      <c r="A54" s="122">
        <v>991</v>
      </c>
      <c r="B54" s="122" t="s">
        <v>76</v>
      </c>
      <c r="C54" s="86" t="s">
        <v>44</v>
      </c>
      <c r="D54" s="9" t="s">
        <v>77</v>
      </c>
      <c r="E54" s="40">
        <v>10603.09</v>
      </c>
      <c r="F54" s="5">
        <v>54298.2</v>
      </c>
      <c r="G54" s="5">
        <v>12500</v>
      </c>
      <c r="H54" s="5">
        <v>4500</v>
      </c>
      <c r="I54" s="40">
        <v>11003.93</v>
      </c>
      <c r="J54" s="40">
        <v>3031.81</v>
      </c>
      <c r="K54" s="5">
        <f t="shared" si="4"/>
        <v>400.84000000000015</v>
      </c>
      <c r="L54" s="5">
        <f t="shared" si="5"/>
        <v>-1496.0699999999997</v>
      </c>
      <c r="M54" s="5">
        <f t="shared" si="6"/>
        <v>-43294.27</v>
      </c>
      <c r="N54" s="5">
        <f t="shared" si="9"/>
        <v>-1468.19</v>
      </c>
      <c r="O54" s="46">
        <f t="shared" si="10"/>
        <v>1.0378040740953816</v>
      </c>
      <c r="P54" s="46">
        <f t="shared" si="11"/>
        <v>0.8803144</v>
      </c>
      <c r="Q54" s="46">
        <f t="shared" si="12"/>
        <v>0.20265736249083766</v>
      </c>
    </row>
    <row r="55" spans="1:17" ht="15.75">
      <c r="A55" s="122"/>
      <c r="B55" s="122"/>
      <c r="C55" s="82" t="s">
        <v>78</v>
      </c>
      <c r="D55" s="7" t="s">
        <v>79</v>
      </c>
      <c r="E55" s="40">
        <v>519</v>
      </c>
      <c r="F55" s="5"/>
      <c r="G55" s="5"/>
      <c r="H55" s="5"/>
      <c r="I55" s="40">
        <v>1599.4</v>
      </c>
      <c r="J55" s="40">
        <v>1599.4</v>
      </c>
      <c r="K55" s="5">
        <f t="shared" si="4"/>
        <v>1080.4</v>
      </c>
      <c r="L55" s="5">
        <f t="shared" si="5"/>
        <v>1599.4</v>
      </c>
      <c r="M55" s="5">
        <f t="shared" si="6"/>
        <v>1599.4</v>
      </c>
      <c r="N55" s="5">
        <f t="shared" si="9"/>
        <v>1599.4</v>
      </c>
      <c r="O55" s="49">
        <f t="shared" si="10"/>
        <v>3.0816955684007707</v>
      </c>
      <c r="P55" s="49">
        <f t="shared" si="11"/>
      </c>
      <c r="Q55" s="49">
        <f t="shared" si="12"/>
      </c>
    </row>
    <row r="56" spans="1:17" ht="15.75">
      <c r="A56" s="122"/>
      <c r="B56" s="122"/>
      <c r="C56" s="90"/>
      <c r="D56" s="67" t="s">
        <v>11</v>
      </c>
      <c r="E56" s="30">
        <f aca="true" t="shared" si="15" ref="E56:J56">SUM(E54:E55)</f>
        <v>11122.09</v>
      </c>
      <c r="F56" s="30">
        <f t="shared" si="15"/>
        <v>54298.2</v>
      </c>
      <c r="G56" s="30">
        <f t="shared" si="15"/>
        <v>12500</v>
      </c>
      <c r="H56" s="30">
        <f t="shared" si="15"/>
        <v>4500</v>
      </c>
      <c r="I56" s="30">
        <f t="shared" si="15"/>
        <v>12603.33</v>
      </c>
      <c r="J56" s="30">
        <f t="shared" si="15"/>
        <v>4631.21</v>
      </c>
      <c r="K56" s="30">
        <f t="shared" si="4"/>
        <v>1481.2399999999998</v>
      </c>
      <c r="L56" s="30">
        <f t="shared" si="5"/>
        <v>103.32999999999993</v>
      </c>
      <c r="M56" s="30">
        <f t="shared" si="6"/>
        <v>-41694.869999999995</v>
      </c>
      <c r="N56" s="30">
        <f t="shared" si="9"/>
        <v>131.21000000000004</v>
      </c>
      <c r="O56" s="66">
        <f t="shared" si="10"/>
        <v>1.1331800048372203</v>
      </c>
      <c r="P56" s="66">
        <f t="shared" si="11"/>
        <v>1.0082664</v>
      </c>
      <c r="Q56" s="66">
        <f t="shared" si="12"/>
        <v>0.23211321922273667</v>
      </c>
    </row>
    <row r="57" spans="1:17" ht="15.75">
      <c r="A57" s="115" t="s">
        <v>80</v>
      </c>
      <c r="B57" s="101" t="s">
        <v>81</v>
      </c>
      <c r="C57" s="82" t="s">
        <v>82</v>
      </c>
      <c r="D57" s="7" t="s">
        <v>83</v>
      </c>
      <c r="E57" s="40">
        <v>5265.34</v>
      </c>
      <c r="F57" s="5">
        <v>7767.5</v>
      </c>
      <c r="G57" s="5">
        <v>1870.6</v>
      </c>
      <c r="H57" s="5">
        <v>1561.3999999999999</v>
      </c>
      <c r="I57" s="38">
        <v>4721.860000000001</v>
      </c>
      <c r="J57" s="38">
        <v>3864.3</v>
      </c>
      <c r="K57" s="5">
        <f t="shared" si="4"/>
        <v>-543.4799999999996</v>
      </c>
      <c r="L57" s="5">
        <f t="shared" si="5"/>
        <v>2851.2600000000007</v>
      </c>
      <c r="M57" s="5">
        <f t="shared" si="6"/>
        <v>-3045.6399999999994</v>
      </c>
      <c r="N57" s="5">
        <f t="shared" si="9"/>
        <v>2302.9000000000005</v>
      </c>
      <c r="O57" s="46">
        <f t="shared" si="10"/>
        <v>0.8967815943509821</v>
      </c>
      <c r="P57" s="46">
        <f t="shared" si="11"/>
        <v>2.5242489040949434</v>
      </c>
      <c r="Q57" s="46">
        <f t="shared" si="12"/>
        <v>0.6078995815899583</v>
      </c>
    </row>
    <row r="58" spans="1:17" ht="15.75">
      <c r="A58" s="115"/>
      <c r="B58" s="101"/>
      <c r="C58" s="85"/>
      <c r="D58" s="67" t="s">
        <v>11</v>
      </c>
      <c r="E58" s="30">
        <f aca="true" t="shared" si="16" ref="E58:K58">E57</f>
        <v>5265.34</v>
      </c>
      <c r="F58" s="30">
        <f t="shared" si="16"/>
        <v>7767.5</v>
      </c>
      <c r="G58" s="30">
        <f t="shared" si="16"/>
        <v>1870.6</v>
      </c>
      <c r="H58" s="30">
        <f t="shared" si="16"/>
        <v>1561.3999999999999</v>
      </c>
      <c r="I58" s="30">
        <f t="shared" si="16"/>
        <v>4721.860000000001</v>
      </c>
      <c r="J58" s="30">
        <f t="shared" si="16"/>
        <v>3864.3</v>
      </c>
      <c r="K58" s="74">
        <f t="shared" si="16"/>
        <v>-543.4799999999996</v>
      </c>
      <c r="L58" s="74">
        <f t="shared" si="5"/>
        <v>2851.2600000000007</v>
      </c>
      <c r="M58" s="74">
        <f t="shared" si="6"/>
        <v>-3045.6399999999994</v>
      </c>
      <c r="N58" s="74">
        <f t="shared" si="9"/>
        <v>2302.9000000000005</v>
      </c>
      <c r="O58" s="66">
        <f t="shared" si="10"/>
        <v>0.8967815943509821</v>
      </c>
      <c r="P58" s="66">
        <f t="shared" si="11"/>
        <v>2.5242489040949434</v>
      </c>
      <c r="Q58" s="66">
        <f t="shared" si="12"/>
        <v>0.6078995815899583</v>
      </c>
    </row>
    <row r="59" spans="1:17" ht="15.75">
      <c r="A59" s="101"/>
      <c r="B59" s="101" t="s">
        <v>84</v>
      </c>
      <c r="C59" s="82" t="s">
        <v>109</v>
      </c>
      <c r="D59" s="10" t="s">
        <v>85</v>
      </c>
      <c r="E59" s="40">
        <v>213.05</v>
      </c>
      <c r="F59" s="5">
        <v>41.2</v>
      </c>
      <c r="G59" s="5">
        <v>26.700000000000003</v>
      </c>
      <c r="H59" s="5">
        <v>8.9</v>
      </c>
      <c r="I59" s="38">
        <v>46.84</v>
      </c>
      <c r="J59" s="38">
        <v>10.61</v>
      </c>
      <c r="K59" s="5">
        <f aca="true" t="shared" si="17" ref="K59:K80">I59-E59</f>
        <v>-166.21</v>
      </c>
      <c r="L59" s="5">
        <f t="shared" si="5"/>
        <v>20.14</v>
      </c>
      <c r="M59" s="5">
        <f t="shared" si="6"/>
        <v>5.640000000000001</v>
      </c>
      <c r="N59" s="5">
        <f t="shared" si="9"/>
        <v>1.709999999999999</v>
      </c>
      <c r="O59" s="46">
        <f t="shared" si="10"/>
        <v>0.21985449425017603</v>
      </c>
      <c r="P59" s="46">
        <f t="shared" si="11"/>
        <v>1.754307116104869</v>
      </c>
      <c r="Q59" s="46">
        <f t="shared" si="12"/>
        <v>1.1368932038834951</v>
      </c>
    </row>
    <row r="60" spans="1:17" ht="15.75">
      <c r="A60" s="118"/>
      <c r="B60" s="118"/>
      <c r="C60" s="82" t="s">
        <v>110</v>
      </c>
      <c r="D60" s="7" t="s">
        <v>148</v>
      </c>
      <c r="E60" s="18">
        <v>42.99</v>
      </c>
      <c r="F60" s="18">
        <v>47.1</v>
      </c>
      <c r="G60" s="18">
        <v>47.1</v>
      </c>
      <c r="H60" s="18">
        <v>0</v>
      </c>
      <c r="I60" s="42">
        <v>-158.21</v>
      </c>
      <c r="J60" s="42">
        <v>4.73</v>
      </c>
      <c r="K60" s="18">
        <f t="shared" si="17"/>
        <v>-201.20000000000002</v>
      </c>
      <c r="L60" s="18">
        <f t="shared" si="5"/>
        <v>-205.31</v>
      </c>
      <c r="M60" s="18">
        <f t="shared" si="6"/>
        <v>-205.31</v>
      </c>
      <c r="N60" s="18">
        <f t="shared" si="9"/>
        <v>4.73</v>
      </c>
      <c r="O60" s="46">
        <f t="shared" si="10"/>
        <v>-3.6801581763200746</v>
      </c>
      <c r="P60" s="46">
        <f t="shared" si="11"/>
        <v>-3.359023354564756</v>
      </c>
      <c r="Q60" s="46">
        <f t="shared" si="12"/>
        <v>-3.359023354564756</v>
      </c>
    </row>
    <row r="61" spans="1:17" ht="15.75">
      <c r="A61" s="101"/>
      <c r="B61" s="101"/>
      <c r="C61" s="82" t="s">
        <v>42</v>
      </c>
      <c r="D61" s="7" t="s">
        <v>43</v>
      </c>
      <c r="E61" s="40"/>
      <c r="F61" s="5">
        <v>6100</v>
      </c>
      <c r="G61" s="5">
        <f>H61</f>
        <v>0</v>
      </c>
      <c r="H61" s="5">
        <v>0</v>
      </c>
      <c r="I61" s="38">
        <v>0</v>
      </c>
      <c r="J61" s="38">
        <v>0</v>
      </c>
      <c r="K61" s="5">
        <f t="shared" si="17"/>
        <v>0</v>
      </c>
      <c r="L61" s="5">
        <f t="shared" si="5"/>
        <v>0</v>
      </c>
      <c r="M61" s="5">
        <f t="shared" si="6"/>
        <v>-6100</v>
      </c>
      <c r="N61" s="5">
        <f t="shared" si="9"/>
        <v>0</v>
      </c>
      <c r="O61" s="46">
        <f t="shared" si="10"/>
      </c>
      <c r="P61" s="46">
        <f t="shared" si="11"/>
      </c>
      <c r="Q61" s="46">
        <f t="shared" si="12"/>
        <v>0</v>
      </c>
    </row>
    <row r="62" spans="1:17" ht="31.5">
      <c r="A62" s="101"/>
      <c r="B62" s="101"/>
      <c r="C62" s="82" t="s">
        <v>118</v>
      </c>
      <c r="D62" s="7" t="s">
        <v>72</v>
      </c>
      <c r="E62" s="40">
        <v>3838.809999999999</v>
      </c>
      <c r="F62" s="3">
        <v>680.5</v>
      </c>
      <c r="G62" s="3">
        <v>150</v>
      </c>
      <c r="H62" s="3">
        <v>50</v>
      </c>
      <c r="I62" s="40">
        <v>12002.860000000002</v>
      </c>
      <c r="J62" s="40">
        <v>327.41999999999996</v>
      </c>
      <c r="K62" s="3">
        <f t="shared" si="17"/>
        <v>8164.050000000003</v>
      </c>
      <c r="L62" s="3">
        <f t="shared" si="5"/>
        <v>11852.860000000002</v>
      </c>
      <c r="M62" s="3">
        <f t="shared" si="6"/>
        <v>11322.360000000002</v>
      </c>
      <c r="N62" s="3">
        <f t="shared" si="9"/>
        <v>277.41999999999996</v>
      </c>
      <c r="O62" s="46">
        <f t="shared" si="10"/>
        <v>3.1267137472289606</v>
      </c>
      <c r="P62" s="46">
        <f t="shared" si="11"/>
        <v>80.01906666666669</v>
      </c>
      <c r="Q62" s="46">
        <f t="shared" si="12"/>
        <v>17.638295371050702</v>
      </c>
    </row>
    <row r="63" spans="1:17" ht="15.75">
      <c r="A63" s="101"/>
      <c r="B63" s="101"/>
      <c r="C63" s="82" t="s">
        <v>74</v>
      </c>
      <c r="D63" s="7" t="s">
        <v>75</v>
      </c>
      <c r="E63" s="39">
        <v>18548.93</v>
      </c>
      <c r="F63" s="3">
        <v>86939.9</v>
      </c>
      <c r="G63" s="3">
        <v>17892.300000000003</v>
      </c>
      <c r="H63" s="3">
        <v>9125.8</v>
      </c>
      <c r="I63" s="39">
        <v>16013.54999999999</v>
      </c>
      <c r="J63" s="39">
        <v>3160.07</v>
      </c>
      <c r="K63" s="3">
        <f t="shared" si="17"/>
        <v>-2535.38000000001</v>
      </c>
      <c r="L63" s="3">
        <f t="shared" si="5"/>
        <v>-1878.7500000000127</v>
      </c>
      <c r="M63" s="3">
        <f t="shared" si="6"/>
        <v>-70926.35</v>
      </c>
      <c r="N63" s="3">
        <f t="shared" si="9"/>
        <v>-5965.73</v>
      </c>
      <c r="O63" s="46">
        <f t="shared" si="10"/>
        <v>0.8633139485673831</v>
      </c>
      <c r="P63" s="46">
        <f t="shared" si="11"/>
        <v>0.8949967304371147</v>
      </c>
      <c r="Q63" s="46">
        <f t="shared" si="12"/>
        <v>0.18419103311598</v>
      </c>
    </row>
    <row r="64" spans="1:17" ht="15.75">
      <c r="A64" s="101"/>
      <c r="B64" s="101"/>
      <c r="C64" s="82" t="s">
        <v>86</v>
      </c>
      <c r="D64" s="7" t="s">
        <v>87</v>
      </c>
      <c r="E64" s="39">
        <v>17220.519999999993</v>
      </c>
      <c r="F64" s="3"/>
      <c r="G64" s="3"/>
      <c r="H64" s="3"/>
      <c r="I64" s="39">
        <v>-6055.219999999999</v>
      </c>
      <c r="J64" s="39">
        <v>-1117.09</v>
      </c>
      <c r="K64" s="3">
        <f t="shared" si="17"/>
        <v>-23275.73999999999</v>
      </c>
      <c r="L64" s="3">
        <f t="shared" si="5"/>
        <v>-6055.219999999999</v>
      </c>
      <c r="M64" s="3">
        <f t="shared" si="6"/>
        <v>-6055.219999999999</v>
      </c>
      <c r="N64" s="3">
        <f aca="true" t="shared" si="18" ref="N64:N79">J64-H64</f>
        <v>-1117.09</v>
      </c>
      <c r="O64" s="46">
        <f aca="true" t="shared" si="19" ref="O64:O79">_xlfn.IFERROR(I64/E64,"")</f>
        <v>-0.35162817382982636</v>
      </c>
      <c r="P64" s="46">
        <f aca="true" t="shared" si="20" ref="P64:P80">_xlfn.IFERROR(I64/G64,"")</f>
      </c>
      <c r="Q64" s="46">
        <f aca="true" t="shared" si="21" ref="Q64:Q80">_xlfn.IFERROR(I64/F64,"")</f>
      </c>
    </row>
    <row r="65" spans="1:17" ht="15.75">
      <c r="A65" s="101"/>
      <c r="B65" s="101"/>
      <c r="C65" s="82" t="s">
        <v>46</v>
      </c>
      <c r="D65" s="7" t="s">
        <v>60</v>
      </c>
      <c r="E65" s="39">
        <f>6667.86</f>
        <v>6667.86</v>
      </c>
      <c r="F65" s="3">
        <v>16333.1</v>
      </c>
      <c r="G65" s="3">
        <v>1000</v>
      </c>
      <c r="H65" s="3">
        <v>350</v>
      </c>
      <c r="I65" s="39">
        <v>14437.46</v>
      </c>
      <c r="J65" s="39">
        <v>5547.29</v>
      </c>
      <c r="K65" s="3">
        <f t="shared" si="17"/>
        <v>7769.599999999999</v>
      </c>
      <c r="L65" s="3">
        <f aca="true" t="shared" si="22" ref="L65:L80">I65-G65</f>
        <v>13437.46</v>
      </c>
      <c r="M65" s="3">
        <f aca="true" t="shared" si="23" ref="M65:M80">I65-F65</f>
        <v>-1895.6400000000012</v>
      </c>
      <c r="N65" s="3">
        <f t="shared" si="18"/>
        <v>5197.29</v>
      </c>
      <c r="O65" s="46">
        <f t="shared" si="19"/>
        <v>2.16523142357518</v>
      </c>
      <c r="P65" s="46">
        <f t="shared" si="20"/>
        <v>14.43746</v>
      </c>
      <c r="Q65" s="46">
        <f t="shared" si="21"/>
        <v>0.8839387501454101</v>
      </c>
    </row>
    <row r="66" spans="1:17" ht="15.75">
      <c r="A66" s="137"/>
      <c r="B66" s="137"/>
      <c r="C66" s="82" t="s">
        <v>152</v>
      </c>
      <c r="D66" s="7" t="s">
        <v>151</v>
      </c>
      <c r="E66" s="39">
        <v>940</v>
      </c>
      <c r="F66" s="3">
        <v>0</v>
      </c>
      <c r="G66" s="3">
        <f>H66</f>
        <v>0</v>
      </c>
      <c r="H66" s="3">
        <v>0</v>
      </c>
      <c r="I66" s="39">
        <v>83.58</v>
      </c>
      <c r="J66" s="39">
        <v>0</v>
      </c>
      <c r="K66" s="3">
        <f t="shared" si="17"/>
        <v>-856.42</v>
      </c>
      <c r="L66" s="3">
        <f t="shared" si="22"/>
        <v>83.58</v>
      </c>
      <c r="M66" s="3">
        <f t="shared" si="23"/>
        <v>83.58</v>
      </c>
      <c r="N66" s="3">
        <f t="shared" si="18"/>
        <v>0</v>
      </c>
      <c r="O66" s="46">
        <f t="shared" si="19"/>
        <v>0.08891489361702128</v>
      </c>
      <c r="P66" s="46">
        <f t="shared" si="20"/>
      </c>
      <c r="Q66" s="46">
        <f t="shared" si="21"/>
      </c>
    </row>
    <row r="67" spans="1:17" ht="15.75">
      <c r="A67" s="101"/>
      <c r="B67" s="101"/>
      <c r="C67" s="85"/>
      <c r="D67" s="67" t="s">
        <v>88</v>
      </c>
      <c r="E67" s="30">
        <f>SUM(E59:E66)</f>
        <v>47472.15999999999</v>
      </c>
      <c r="F67" s="30">
        <f>SUM(F59:F66)</f>
        <v>110141.8</v>
      </c>
      <c r="G67" s="30">
        <f>SUM(G59:G66)</f>
        <v>19116.100000000002</v>
      </c>
      <c r="H67" s="30">
        <f>SUM(H59:H66)</f>
        <v>9534.699999999999</v>
      </c>
      <c r="I67" s="30">
        <f>SUM(I59:I66)</f>
        <v>36370.85999999999</v>
      </c>
      <c r="J67" s="30">
        <f>SUM(J59:J66)</f>
        <v>7933.03</v>
      </c>
      <c r="K67" s="74">
        <f t="shared" si="17"/>
        <v>-11101.299999999996</v>
      </c>
      <c r="L67" s="74">
        <f t="shared" si="22"/>
        <v>17254.75999999999</v>
      </c>
      <c r="M67" s="74">
        <f t="shared" si="23"/>
        <v>-73770.94</v>
      </c>
      <c r="N67" s="74">
        <f t="shared" si="18"/>
        <v>-1601.6699999999992</v>
      </c>
      <c r="O67" s="66">
        <f t="shared" si="19"/>
        <v>0.7661513611346104</v>
      </c>
      <c r="P67" s="66">
        <f t="shared" si="20"/>
        <v>1.9026297204973812</v>
      </c>
      <c r="Q67" s="66">
        <f t="shared" si="21"/>
        <v>0.33021850015162263</v>
      </c>
    </row>
    <row r="68" spans="1:20" ht="25.5" customHeight="1">
      <c r="A68" s="138" t="s">
        <v>89</v>
      </c>
      <c r="B68" s="138"/>
      <c r="C68" s="139"/>
      <c r="D68" s="138"/>
      <c r="E68" s="75">
        <f aca="true" t="shared" si="24" ref="E68:J68">E5+E22</f>
        <v>4547723.759999999</v>
      </c>
      <c r="F68" s="75">
        <f t="shared" si="24"/>
        <v>26089513.020000003</v>
      </c>
      <c r="G68" s="75">
        <f t="shared" si="24"/>
        <v>4997123.699999999</v>
      </c>
      <c r="H68" s="75">
        <f t="shared" si="24"/>
        <v>3397068.5999999996</v>
      </c>
      <c r="I68" s="75">
        <f t="shared" si="24"/>
        <v>3121288.51</v>
      </c>
      <c r="J68" s="75">
        <f t="shared" si="24"/>
        <v>1648142.4100000001</v>
      </c>
      <c r="K68" s="76">
        <f t="shared" si="17"/>
        <v>-1426435.249999999</v>
      </c>
      <c r="L68" s="76">
        <f t="shared" si="22"/>
        <v>-1875835.1899999995</v>
      </c>
      <c r="M68" s="76">
        <f t="shared" si="23"/>
        <v>-22968224.510000005</v>
      </c>
      <c r="N68" s="76">
        <f t="shared" si="18"/>
        <v>-1748926.1899999995</v>
      </c>
      <c r="O68" s="77">
        <f t="shared" si="19"/>
        <v>0.6863408321881012</v>
      </c>
      <c r="P68" s="77">
        <f t="shared" si="20"/>
        <v>0.6246170191864573</v>
      </c>
      <c r="Q68" s="77">
        <f t="shared" si="21"/>
        <v>0.11963766849949425</v>
      </c>
      <c r="S68" s="80"/>
      <c r="T68" s="93"/>
    </row>
    <row r="69" spans="1:17" ht="15.75" hidden="1">
      <c r="A69" s="140" t="s">
        <v>108</v>
      </c>
      <c r="B69" s="141"/>
      <c r="C69" s="141"/>
      <c r="D69" s="142"/>
      <c r="E69" s="75">
        <f>E68-E51-E49-E50</f>
        <v>3731816.5399999986</v>
      </c>
      <c r="F69" s="75">
        <f>F68-F51-F49-F50</f>
        <v>21652001.820000004</v>
      </c>
      <c r="G69" s="75">
        <f>H69</f>
        <v>3036731.3</v>
      </c>
      <c r="H69" s="75">
        <f>H68-H51-H49-H50</f>
        <v>3036731.3</v>
      </c>
      <c r="I69" s="75">
        <f>I68-I51-I49-I50</f>
        <v>2193995</v>
      </c>
      <c r="J69" s="75">
        <f>J68-J51-J49-J50</f>
        <v>1430753.31</v>
      </c>
      <c r="K69" s="75">
        <f t="shared" si="17"/>
        <v>-1537821.5399999986</v>
      </c>
      <c r="L69" s="75">
        <f t="shared" si="22"/>
        <v>-842736.2999999998</v>
      </c>
      <c r="M69" s="75">
        <f t="shared" si="23"/>
        <v>-19458006.820000004</v>
      </c>
      <c r="N69" s="75">
        <f t="shared" si="18"/>
        <v>-1605977.9899999998</v>
      </c>
      <c r="O69" s="94">
        <f t="shared" si="19"/>
        <v>0.5879160930027929</v>
      </c>
      <c r="P69" s="94">
        <f t="shared" si="20"/>
        <v>0.7224857200898874</v>
      </c>
      <c r="Q69" s="94">
        <f t="shared" si="21"/>
        <v>0.10132989172268597</v>
      </c>
    </row>
    <row r="70" spans="1:17" ht="33" customHeight="1">
      <c r="A70" s="143"/>
      <c r="B70" s="126"/>
      <c r="C70" s="82"/>
      <c r="D70" s="58" t="s">
        <v>90</v>
      </c>
      <c r="E70" s="59">
        <f aca="true" t="shared" si="25" ref="E70:J70">SUM(E71:E78)</f>
        <v>2799198.2000000007</v>
      </c>
      <c r="F70" s="55">
        <f t="shared" si="25"/>
        <v>23927644.140000004</v>
      </c>
      <c r="G70" s="55">
        <f t="shared" si="25"/>
        <v>4087827.29</v>
      </c>
      <c r="H70" s="55">
        <f t="shared" si="25"/>
        <v>1236300.7500000002</v>
      </c>
      <c r="I70" s="55">
        <f t="shared" si="25"/>
        <v>3644205.7999999993</v>
      </c>
      <c r="J70" s="55">
        <f t="shared" si="25"/>
        <v>1517302.1700000004</v>
      </c>
      <c r="K70" s="60">
        <f t="shared" si="17"/>
        <v>845007.5999999987</v>
      </c>
      <c r="L70" s="60">
        <f t="shared" si="22"/>
        <v>-443621.4900000007</v>
      </c>
      <c r="M70" s="60">
        <f t="shared" si="23"/>
        <v>-20283438.340000004</v>
      </c>
      <c r="N70" s="60">
        <f t="shared" si="18"/>
        <v>281001.42000000016</v>
      </c>
      <c r="O70" s="61">
        <f t="shared" si="19"/>
        <v>1.3018748725974454</v>
      </c>
      <c r="P70" s="61">
        <f t="shared" si="20"/>
        <v>0.8914774381282629</v>
      </c>
      <c r="Q70" s="61">
        <f t="shared" si="21"/>
        <v>0.15230106978680596</v>
      </c>
    </row>
    <row r="71" spans="1:17" ht="31.5">
      <c r="A71" s="143"/>
      <c r="B71" s="126"/>
      <c r="C71" s="82" t="s">
        <v>128</v>
      </c>
      <c r="D71" s="19" t="s">
        <v>91</v>
      </c>
      <c r="E71" s="39">
        <v>79902.6</v>
      </c>
      <c r="F71" s="19">
        <v>384548</v>
      </c>
      <c r="G71" s="3">
        <f>289880</f>
        <v>289880</v>
      </c>
      <c r="H71" s="3">
        <f>31556</f>
        <v>31556</v>
      </c>
      <c r="I71" s="17">
        <v>258324</v>
      </c>
      <c r="J71" s="17">
        <v>0</v>
      </c>
      <c r="K71" s="3">
        <f aca="true" t="shared" si="26" ref="K71:K76">I71-E71</f>
        <v>178421.4</v>
      </c>
      <c r="L71" s="3">
        <f>I71-G71</f>
        <v>-31556</v>
      </c>
      <c r="M71" s="3">
        <f>I71-F71</f>
        <v>-126224</v>
      </c>
      <c r="N71" s="3">
        <f t="shared" si="18"/>
        <v>-31556</v>
      </c>
      <c r="O71" s="47">
        <f t="shared" si="19"/>
        <v>3.232986160650592</v>
      </c>
      <c r="P71" s="47">
        <f t="shared" si="20"/>
        <v>0.8911411618600801</v>
      </c>
      <c r="Q71" s="47">
        <f t="shared" si="21"/>
        <v>0.6717600923681829</v>
      </c>
    </row>
    <row r="72" spans="1:17" ht="31.5">
      <c r="A72" s="143"/>
      <c r="B72" s="126"/>
      <c r="C72" s="82" t="s">
        <v>129</v>
      </c>
      <c r="D72" s="20" t="s">
        <v>92</v>
      </c>
      <c r="E72" s="39">
        <v>226837.58000000002</v>
      </c>
      <c r="F72" s="19">
        <v>6299218.66</v>
      </c>
      <c r="G72" s="3">
        <v>248619.58999999994</v>
      </c>
      <c r="H72" s="39">
        <v>135130.44</v>
      </c>
      <c r="I72" s="17">
        <v>248619.58999999994</v>
      </c>
      <c r="J72" s="17">
        <v>135130.44</v>
      </c>
      <c r="K72" s="3">
        <f t="shared" si="26"/>
        <v>21782.009999999922</v>
      </c>
      <c r="L72" s="3">
        <f>I72-G72</f>
        <v>0</v>
      </c>
      <c r="M72" s="3">
        <f>I72-F72</f>
        <v>-6050599.07</v>
      </c>
      <c r="N72" s="3">
        <f t="shared" si="18"/>
        <v>0</v>
      </c>
      <c r="O72" s="47">
        <f t="shared" si="19"/>
        <v>1.096024697495009</v>
      </c>
      <c r="P72" s="47">
        <f t="shared" si="20"/>
        <v>1</v>
      </c>
      <c r="Q72" s="47">
        <f t="shared" si="21"/>
        <v>0.0394683219331205</v>
      </c>
    </row>
    <row r="73" spans="1:17" ht="31.5">
      <c r="A73" s="143"/>
      <c r="B73" s="126"/>
      <c r="C73" s="82" t="s">
        <v>130</v>
      </c>
      <c r="D73" s="20" t="s">
        <v>93</v>
      </c>
      <c r="E73" s="39">
        <v>2024933.3300000003</v>
      </c>
      <c r="F73" s="19">
        <v>11742215.65</v>
      </c>
      <c r="G73" s="3">
        <v>2416061.04</v>
      </c>
      <c r="H73" s="39">
        <v>901872.4800000001</v>
      </c>
      <c r="I73" s="17">
        <v>2125124.1699999995</v>
      </c>
      <c r="J73" s="17">
        <v>901872.4800000001</v>
      </c>
      <c r="K73" s="3">
        <f t="shared" si="26"/>
        <v>100190.83999999915</v>
      </c>
      <c r="L73" s="3">
        <f>I73-G73</f>
        <v>-290936.8700000006</v>
      </c>
      <c r="M73" s="3">
        <f t="shared" si="23"/>
        <v>-9617091.48</v>
      </c>
      <c r="N73" s="3">
        <f t="shared" si="18"/>
        <v>0</v>
      </c>
      <c r="O73" s="47">
        <f t="shared" si="19"/>
        <v>1.049478587030813</v>
      </c>
      <c r="P73" s="47">
        <f t="shared" si="20"/>
        <v>0.8795821524442939</v>
      </c>
      <c r="Q73" s="47">
        <f t="shared" si="21"/>
        <v>0.18098153136882641</v>
      </c>
    </row>
    <row r="74" spans="1:17" ht="15.75">
      <c r="A74" s="143"/>
      <c r="B74" s="126"/>
      <c r="C74" s="82" t="s">
        <v>131</v>
      </c>
      <c r="D74" s="9" t="s">
        <v>94</v>
      </c>
      <c r="E74" s="39">
        <v>480633.41000000003</v>
      </c>
      <c r="F74" s="19">
        <v>5493654.96</v>
      </c>
      <c r="G74" s="3">
        <v>1125259.79</v>
      </c>
      <c r="H74" s="3">
        <v>159734.96</v>
      </c>
      <c r="I74" s="39">
        <v>1125259.79</v>
      </c>
      <c r="J74" s="39">
        <v>89336.09000000001</v>
      </c>
      <c r="K74" s="3">
        <f t="shared" si="26"/>
        <v>644626.38</v>
      </c>
      <c r="L74" s="3">
        <f>I74-G74</f>
        <v>0</v>
      </c>
      <c r="M74" s="3">
        <f t="shared" si="23"/>
        <v>-4368395.17</v>
      </c>
      <c r="N74" s="3">
        <f t="shared" si="18"/>
        <v>-70398.86999999998</v>
      </c>
      <c r="O74" s="47">
        <f t="shared" si="19"/>
        <v>2.3412017695565526</v>
      </c>
      <c r="P74" s="47">
        <f t="shared" si="20"/>
        <v>1</v>
      </c>
      <c r="Q74" s="47">
        <f t="shared" si="21"/>
        <v>0.2048289887503237</v>
      </c>
    </row>
    <row r="75" spans="1:17" ht="47.25">
      <c r="A75" s="144"/>
      <c r="B75" s="145"/>
      <c r="C75" s="82" t="s">
        <v>127</v>
      </c>
      <c r="D75" s="9" t="s">
        <v>126</v>
      </c>
      <c r="E75" s="39">
        <v>4.06</v>
      </c>
      <c r="F75" s="3"/>
      <c r="G75" s="3">
        <f>H75</f>
        <v>0</v>
      </c>
      <c r="H75" s="3"/>
      <c r="I75" s="39">
        <v>387.89</v>
      </c>
      <c r="J75" s="39">
        <v>0</v>
      </c>
      <c r="K75" s="3">
        <f t="shared" si="26"/>
        <v>383.83</v>
      </c>
      <c r="L75" s="3">
        <f>I75-G75</f>
        <v>387.89</v>
      </c>
      <c r="M75" s="3">
        <f t="shared" si="23"/>
        <v>387.89</v>
      </c>
      <c r="N75" s="3">
        <f t="shared" si="18"/>
        <v>0</v>
      </c>
      <c r="O75" s="48">
        <f t="shared" si="19"/>
        <v>95.53940886699507</v>
      </c>
      <c r="P75" s="48">
        <f t="shared" si="20"/>
      </c>
      <c r="Q75" s="48">
        <f t="shared" si="21"/>
      </c>
    </row>
    <row r="76" spans="1:17" ht="31.5">
      <c r="A76" s="143"/>
      <c r="B76" s="126"/>
      <c r="C76" s="82" t="s">
        <v>95</v>
      </c>
      <c r="D76" s="33" t="s">
        <v>96</v>
      </c>
      <c r="E76" s="39">
        <v>692.71</v>
      </c>
      <c r="F76" s="3"/>
      <c r="G76" s="3"/>
      <c r="H76" s="3"/>
      <c r="I76" s="39">
        <v>0</v>
      </c>
      <c r="J76" s="39">
        <v>0</v>
      </c>
      <c r="K76" s="3">
        <f t="shared" si="26"/>
        <v>-692.71</v>
      </c>
      <c r="L76" s="3">
        <f>I76-G76</f>
        <v>0</v>
      </c>
      <c r="M76" s="3">
        <f>I76-F76</f>
        <v>0</v>
      </c>
      <c r="N76" s="3">
        <f t="shared" si="18"/>
        <v>0</v>
      </c>
      <c r="O76" s="47">
        <f t="shared" si="19"/>
        <v>0</v>
      </c>
      <c r="P76" s="47">
        <f t="shared" si="20"/>
      </c>
      <c r="Q76" s="47">
        <f t="shared" si="21"/>
      </c>
    </row>
    <row r="77" spans="1:17" ht="47.25">
      <c r="A77" s="143"/>
      <c r="B77" s="126"/>
      <c r="C77" s="82" t="s">
        <v>97</v>
      </c>
      <c r="D77" s="7" t="s">
        <v>98</v>
      </c>
      <c r="E77" s="39">
        <v>322992.85</v>
      </c>
      <c r="F77" s="5">
        <v>8006.87</v>
      </c>
      <c r="G77" s="5">
        <v>8006.87</v>
      </c>
      <c r="H77" s="5">
        <v>8006.87</v>
      </c>
      <c r="I77" s="39">
        <v>159705.94000000003</v>
      </c>
      <c r="J77" s="39">
        <v>-2821.76</v>
      </c>
      <c r="K77" s="3">
        <f t="shared" si="17"/>
        <v>-163286.90999999995</v>
      </c>
      <c r="L77" s="3">
        <f t="shared" si="22"/>
        <v>151699.07000000004</v>
      </c>
      <c r="M77" s="3">
        <f t="shared" si="23"/>
        <v>151699.07000000004</v>
      </c>
      <c r="N77" s="3">
        <f t="shared" si="18"/>
        <v>-10828.630000000001</v>
      </c>
      <c r="O77" s="47">
        <f t="shared" si="19"/>
        <v>0.49445658007599874</v>
      </c>
      <c r="P77" s="47">
        <f t="shared" si="20"/>
        <v>19.946113774795897</v>
      </c>
      <c r="Q77" s="47">
        <f t="shared" si="21"/>
        <v>19.946113774795897</v>
      </c>
    </row>
    <row r="78" spans="1:17" ht="15.75">
      <c r="A78" s="143"/>
      <c r="B78" s="126"/>
      <c r="C78" s="82" t="s">
        <v>99</v>
      </c>
      <c r="D78" s="7" t="s">
        <v>100</v>
      </c>
      <c r="E78" s="39">
        <v>-336798.33999999997</v>
      </c>
      <c r="F78" s="3"/>
      <c r="G78" s="3"/>
      <c r="H78" s="3"/>
      <c r="I78" s="39">
        <v>-273215.58</v>
      </c>
      <c r="J78" s="39">
        <v>393784.92000000004</v>
      </c>
      <c r="K78" s="3">
        <f t="shared" si="17"/>
        <v>63582.75999999995</v>
      </c>
      <c r="L78" s="3">
        <f t="shared" si="22"/>
        <v>-273215.58</v>
      </c>
      <c r="M78" s="3">
        <f t="shared" si="23"/>
        <v>-273215.58</v>
      </c>
      <c r="N78" s="3">
        <f t="shared" si="18"/>
        <v>393784.92000000004</v>
      </c>
      <c r="O78" s="47">
        <f t="shared" si="19"/>
        <v>0.8112141526588286</v>
      </c>
      <c r="P78" s="47">
        <f t="shared" si="20"/>
      </c>
      <c r="Q78" s="47">
        <f t="shared" si="21"/>
      </c>
    </row>
    <row r="79" spans="1:17" ht="29.25" customHeight="1">
      <c r="A79" s="134" t="s">
        <v>101</v>
      </c>
      <c r="B79" s="134"/>
      <c r="C79" s="135"/>
      <c r="D79" s="134"/>
      <c r="E79" s="78">
        <f>E68+E70</f>
        <v>7346921.959999999</v>
      </c>
      <c r="F79" s="78">
        <f>F68+F70</f>
        <v>50017157.16000001</v>
      </c>
      <c r="G79" s="78">
        <f>G68+G70</f>
        <v>9084950.989999998</v>
      </c>
      <c r="H79" s="78">
        <f>H68+H70</f>
        <v>4633369.35</v>
      </c>
      <c r="I79" s="78">
        <f>I68+I70</f>
        <v>6765494.309999999</v>
      </c>
      <c r="J79" s="78">
        <f>J68+J70</f>
        <v>3165444.5800000005</v>
      </c>
      <c r="K79" s="50">
        <f t="shared" si="17"/>
        <v>-581427.6500000004</v>
      </c>
      <c r="L79" s="50">
        <f t="shared" si="22"/>
        <v>-2319456.6799999997</v>
      </c>
      <c r="M79" s="50">
        <f t="shared" si="23"/>
        <v>-43251662.85000001</v>
      </c>
      <c r="N79" s="50">
        <f t="shared" si="18"/>
        <v>-1467924.769999999</v>
      </c>
      <c r="O79" s="77">
        <f t="shared" si="19"/>
        <v>0.9208610553963199</v>
      </c>
      <c r="P79" s="77">
        <f t="shared" si="20"/>
        <v>0.7446924388966901</v>
      </c>
      <c r="Q79" s="77">
        <f t="shared" si="21"/>
        <v>0.1352634714595602</v>
      </c>
    </row>
    <row r="80" spans="1:17" ht="15.75" hidden="1">
      <c r="A80" s="136" t="s">
        <v>108</v>
      </c>
      <c r="B80" s="136"/>
      <c r="C80" s="136"/>
      <c r="D80" s="136"/>
      <c r="E80" s="50">
        <f>E79-E51-E50-E49</f>
        <v>6531014.739999998</v>
      </c>
      <c r="F80" s="50">
        <f>F79-F51-F50-F49</f>
        <v>45579645.96000001</v>
      </c>
      <c r="G80" s="50">
        <f>H80</f>
        <v>4273032.05</v>
      </c>
      <c r="H80" s="50">
        <f>H79-H51-H50-H49</f>
        <v>4273032.05</v>
      </c>
      <c r="I80" s="50">
        <f>I79-I51-I50-I49</f>
        <v>5838200.799999999</v>
      </c>
      <c r="J80" s="50">
        <f>J79-J51-J50-J49</f>
        <v>2948055.4800000004</v>
      </c>
      <c r="K80" s="50">
        <f t="shared" si="17"/>
        <v>-692813.9399999995</v>
      </c>
      <c r="L80" s="50">
        <f t="shared" si="22"/>
        <v>1565168.749999999</v>
      </c>
      <c r="M80" s="50">
        <f t="shared" si="23"/>
        <v>-39741445.16000001</v>
      </c>
      <c r="N80" s="50">
        <f>I80-H80</f>
        <v>1565168.749999999</v>
      </c>
      <c r="O80" s="94">
        <f>I80/E80</f>
        <v>0.8939194034034595</v>
      </c>
      <c r="P80" s="94">
        <f t="shared" si="20"/>
        <v>1.3662899626507596</v>
      </c>
      <c r="Q80" s="48">
        <f t="shared" si="21"/>
        <v>0.12808789267743576</v>
      </c>
    </row>
    <row r="81" spans="1:17" ht="15.75">
      <c r="A81" s="21" t="s">
        <v>102</v>
      </c>
      <c r="B81" s="22"/>
      <c r="C81" s="95"/>
      <c r="D81" s="23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5"/>
      <c r="P81" s="26"/>
      <c r="Q81" s="25"/>
    </row>
    <row r="82" ht="12.75">
      <c r="E82" s="79"/>
    </row>
  </sheetData>
  <sheetProtection/>
  <autoFilter ref="A4:Q82"/>
  <mergeCells count="38">
    <mergeCell ref="A79:D79"/>
    <mergeCell ref="A80:D80"/>
    <mergeCell ref="A59:A67"/>
    <mergeCell ref="B59:B67"/>
    <mergeCell ref="A68:D68"/>
    <mergeCell ref="A69:D69"/>
    <mergeCell ref="A70:A78"/>
    <mergeCell ref="B70:B78"/>
    <mergeCell ref="A1:Q1"/>
    <mergeCell ref="A3:A4"/>
    <mergeCell ref="B3:B4"/>
    <mergeCell ref="C3:C4"/>
    <mergeCell ref="D3:D4"/>
    <mergeCell ref="E3:E4"/>
    <mergeCell ref="F3:H3"/>
    <mergeCell ref="P3:P4"/>
    <mergeCell ref="Q3:Q4"/>
    <mergeCell ref="A57:A58"/>
    <mergeCell ref="B57:B58"/>
    <mergeCell ref="A30:A37"/>
    <mergeCell ref="B30:B37"/>
    <mergeCell ref="A38:A46"/>
    <mergeCell ref="B38:B46"/>
    <mergeCell ref="A47:A48"/>
    <mergeCell ref="B47:B48"/>
    <mergeCell ref="A49:A53"/>
    <mergeCell ref="B49:B53"/>
    <mergeCell ref="A54:A56"/>
    <mergeCell ref="B54:B56"/>
    <mergeCell ref="A27:A29"/>
    <mergeCell ref="B27:B29"/>
    <mergeCell ref="I3:J3"/>
    <mergeCell ref="K3:N3"/>
    <mergeCell ref="O3:O4"/>
    <mergeCell ref="A23:A26"/>
    <mergeCell ref="B23:B26"/>
    <mergeCell ref="A6:A17"/>
    <mergeCell ref="A22:C22"/>
  </mergeCells>
  <printOptions/>
  <pageMargins left="0.15748031496062992" right="0.15748031496062992" top="0.5118110236220472" bottom="0.1968503937007874" header="0.31496062992125984" footer="0.31496062992125984"/>
  <pageSetup fitToHeight="0" fitToWidth="1" horizontalDpi="600" verticalDpi="600" orientation="landscape" paperSize="9" scale="59" r:id="rId1"/>
  <rowBreaks count="1" manualBreakCount="1">
    <brk id="4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Постникова Татьяна Викторовна</cp:lastModifiedBy>
  <cp:lastPrinted>2023-03-20T03:34:27Z</cp:lastPrinted>
  <dcterms:created xsi:type="dcterms:W3CDTF">2015-02-26T11:08:47Z</dcterms:created>
  <dcterms:modified xsi:type="dcterms:W3CDTF">2023-03-20T04:09:10Z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