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01.04.2023" sheetId="1" r:id="rId1"/>
  </sheets>
  <definedNames>
    <definedName name="_xlfn.IFERROR" hidden="1">#NAME?</definedName>
    <definedName name="_xlnm._FilterDatabase" localSheetId="0" hidden="1">'01.04.2023'!$A$4:$P$88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'01.04.2023'!$3:$4</definedName>
    <definedName name="о">#REF!</definedName>
    <definedName name="_xlnm.Print_Area" localSheetId="0">'01.04.2023'!$A$1:$P$87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<sst xmlns="http://schemas.openxmlformats.org/spreadsheetml/2006/main" count="141" uniqueCount="111">
  <si>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</si>
  <si>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</si>
  <si>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</si>
  <si>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</si>
  <si>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</si>
  <si>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</si>
  <si>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</si>
  <si>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</si>
  <si>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</si>
  <si>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</si>
  <si>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</si>
  <si>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</si>
  <si>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</si>
  <si>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</si>
  <si>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</si>
  <si>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</si>
  <si>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</si>
  <si>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</si>
  <si>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</si>
  <si>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</si>
  <si>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</si>
  <si>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</si>
  <si>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</si>
  <si>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</si>
  <si>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</si>
  <si>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</si>
  <si>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</si>
  <si>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</si>
  <si>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</si>
  <si>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</si>
  <si>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</si>
  <si>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</si>
  <si>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</si>
  <si>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</si>
  <si>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</si>
  <si>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</si>
  <si>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</si>
  <si>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</si>
  <si>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</si>
  <si>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</si>
  <si>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</si>
  <si>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</si>
  <si>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</si>
  <si>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</si>
  <si>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</si>
  <si>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находящихся в собственности городских округов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</si>
  <si>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</si>
  <si>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</si>
  <si>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</si>
  <si>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</si>
  <si>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</si>
  <si>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</si>
  <si>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</si>
  <si>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</si>
  <si>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</si>
  <si>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</si>
  <si>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</si>
  <si>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</si>
  <si>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</si>
  <si>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</si>
  <si>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</si>
  <si>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</si>
  <si>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</si>
  <si>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</si>
  <si>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</si>
  <si>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</si>
  <si>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</si>
  <si>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</si>
  <si>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</si>
  <si>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</si>
  <si>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</si>
  <si>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</si>
  <si>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</si>
  <si>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</si>
  <si>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</si>
  <si>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</si>
  <si>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</si>
  <si>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</si>
  <si>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</si>
  <si>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</si>
  <si>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</si>
  <si>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</si>
  <si>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</si>
  <si>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</si>
  <si>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</si>
  <si>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</si>
  <si>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</si>
  <si>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</si>
  <si>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</si>
  <si>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</si>
  <si>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</si>
  <si>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</si>
  <si>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</si>
  <si>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</si>
  <si>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</si>
  <si>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</si>
  <si>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</si>
  <si>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</si>
  <si>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</si>
  <si>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</si>
  <si>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</si>
  <si>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</si>
  <si>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</si>
  <si>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</si>
  <si>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</si>
  <si>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</si>
  <si>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Факт с нач. 2022 года      (по 07.04.22 вкл.)</t>
  </si>
  <si>
    <t>январь-апрель</t>
  </si>
  <si>
    <t>апрель</t>
  </si>
  <si>
    <t>с нач. года на 10.04.2023 (по 07.04.2023 вкл.)</t>
  </si>
  <si>
    <t>факта за апрель от плана апреля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</si>
</sst>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  <numFmt numFmtId="169" formatCode="dd/mm/yyyy\ hh:mm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9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4" fillId="0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7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left" wrapText="1"/>
    </xf>
    <xf numFmtId="166" fontId="44" fillId="0" borderId="11" xfId="0" applyNumberFormat="1" applyFont="1" applyFill="1" applyBorder="1" applyAlignment="1">
      <alignment wrapText="1"/>
    </xf>
    <xf numFmtId="166" fontId="44" fillId="0" borderId="11" xfId="0" applyNumberFormat="1" applyFont="1" applyFill="1" applyBorder="1" applyAlignment="1">
      <alignment wrapText="1"/>
    </xf>
    <xf numFmtId="166" fontId="45" fillId="0" borderId="11" xfId="0" applyNumberFormat="1" applyFont="1" applyFill="1" applyBorder="1" applyAlignment="1">
      <alignment wrapText="1"/>
    </xf>
    <xf numFmtId="0" fontId="44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39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166" fontId="46" fillId="0" borderId="11" xfId="0" applyNumberFormat="1" applyFont="1" applyFill="1" applyBorder="1" applyAlignment="1">
      <alignment horizontal="left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46" fillId="0" borderId="13" xfId="0" applyNumberFormat="1" applyFont="1" applyFill="1" applyBorder="1" applyAlignment="1">
      <alignment horizontal="left" vertical="center" wrapText="1"/>
    </xf>
    <xf numFmtId="166" fontId="46" fillId="0" borderId="15" xfId="0" applyNumberFormat="1" applyFont="1" applyFill="1" applyBorder="1" applyAlignment="1">
      <alignment horizontal="left" vertical="center" wrapText="1"/>
    </xf>
    <xf numFmtId="166" fontId="46" fillId="0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</cellXfs>
  <cellStyles count="13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73" xfId="129"/>
    <cellStyle name="Обычный 73 2" xfId="130"/>
    <cellStyle name="Обычный 74" xfId="131"/>
    <cellStyle name="Обычный 75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2" xfId="139"/>
    <cellStyle name="Процентный 2 2" xfId="140"/>
    <cellStyle name="Связанная ячейка" xfId="141"/>
    <cellStyle name="Текст предупреждения" xfId="142"/>
    <cellStyle name="Comma" xfId="143"/>
    <cellStyle name="Comma [0]" xfId="144"/>
    <cellStyle name="Финансовый 2" xfId="145"/>
    <cellStyle name="Финансовый 3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="89" zoomScaleNormal="89" zoomScalePageLayoutView="0" workbookViewId="0" topLeftCell="A1">
      <pane xSplit="3" ySplit="4" topLeftCell="D7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5" sqref="F15"/>
    </sheetView>
  </sheetViews>
  <sheetFormatPr defaultColWidth="9.00390625" defaultRowHeight="12.75"/>
  <cols>
    <col min="1" max="2" width="9.125" style="50" customWidth="1"/>
    <col min="3" max="3" width="55.25390625" style="50" customWidth="1"/>
    <col min="4" max="4" width="14.625" style="22" customWidth="1"/>
    <col min="5" max="5" width="15.625" style="50" customWidth="1"/>
    <col min="6" max="7" width="13.00390625" style="50" customWidth="1"/>
    <col min="8" max="8" width="16.25390625" style="50" customWidth="1"/>
    <col min="9" max="9" width="13.875" style="50" customWidth="1"/>
    <col min="10" max="10" width="15.125" style="50" customWidth="1"/>
    <col min="11" max="11" width="14.375" style="50" customWidth="1"/>
    <col min="12" max="12" width="15.625" style="50" customWidth="1"/>
    <col min="13" max="13" width="13.75390625" style="50" customWidth="1"/>
    <col min="14" max="14" width="10.875" style="50" customWidth="1"/>
    <col min="15" max="15" width="10.125" style="50" customWidth="1"/>
    <col min="16" max="16" width="9.25390625" style="50" customWidth="1"/>
    <col min="17" max="17" width="9.125" style="50" customWidth="1"/>
    <col min="18" max="18" width="16.625" style="50" customWidth="1"/>
    <col min="19" max="19" width="9.125" style="50" customWidth="1"/>
    <col min="20" max="20" width="15.75390625" style="50" customWidth="1"/>
    <col min="21" max="16384" width="9.125" style="50" customWidth="1"/>
  </cols>
  <sheetData>
    <row r="1" spans="1:16" ht="20.25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0.25" customHeight="1">
      <c r="A2" s="28"/>
      <c r="B2" s="29"/>
      <c r="C2" s="26"/>
      <c r="D2" s="25"/>
      <c r="E2" s="26"/>
      <c r="F2" s="26"/>
      <c r="G2" s="31"/>
      <c r="H2" s="31"/>
      <c r="I2" s="31"/>
      <c r="J2" s="26"/>
      <c r="K2" s="26"/>
      <c r="L2" s="26"/>
      <c r="M2" s="26"/>
      <c r="N2" s="26"/>
      <c r="O2" s="24"/>
      <c r="P2" s="24" t="s">
        <v>0</v>
      </c>
    </row>
    <row r="3" spans="1:16" ht="20.25" customHeight="1">
      <c r="A3" s="101" t="s">
        <v>1</v>
      </c>
      <c r="B3" s="90" t="s">
        <v>2</v>
      </c>
      <c r="C3" s="102" t="s">
        <v>3</v>
      </c>
      <c r="D3" s="104" t="s">
        <v>106</v>
      </c>
      <c r="E3" s="87" t="s">
        <v>91</v>
      </c>
      <c r="F3" s="89"/>
      <c r="G3" s="88"/>
      <c r="H3" s="87" t="s">
        <v>93</v>
      </c>
      <c r="I3" s="88"/>
      <c r="J3" s="87" t="s">
        <v>4</v>
      </c>
      <c r="K3" s="89"/>
      <c r="L3" s="89"/>
      <c r="M3" s="88"/>
      <c r="N3" s="90" t="s">
        <v>105</v>
      </c>
      <c r="O3" s="106" t="s">
        <v>103</v>
      </c>
      <c r="P3" s="90" t="s">
        <v>104</v>
      </c>
    </row>
    <row r="4" spans="1:16" ht="63">
      <c r="A4" s="101"/>
      <c r="B4" s="90"/>
      <c r="C4" s="103"/>
      <c r="D4" s="105"/>
      <c r="E4" s="1" t="s">
        <v>88</v>
      </c>
      <c r="F4" s="1" t="s">
        <v>107</v>
      </c>
      <c r="G4" s="1" t="s">
        <v>108</v>
      </c>
      <c r="H4" s="1" t="s">
        <v>109</v>
      </c>
      <c r="I4" s="1" t="s">
        <v>108</v>
      </c>
      <c r="J4" s="1" t="s">
        <v>94</v>
      </c>
      <c r="K4" s="1" t="s">
        <v>5</v>
      </c>
      <c r="L4" s="1" t="s">
        <v>95</v>
      </c>
      <c r="M4" s="1" t="s">
        <v>110</v>
      </c>
      <c r="N4" s="90"/>
      <c r="O4" s="106"/>
      <c r="P4" s="90"/>
    </row>
    <row r="5" spans="1:18" ht="29.25" customHeight="1">
      <c r="A5" s="67"/>
      <c r="B5" s="68"/>
      <c r="C5" s="69" t="s">
        <v>6</v>
      </c>
      <c r="D5" s="84">
        <f aca="true" t="shared" si="0" ref="D5:I5">D17+D19+D21+D18+D20</f>
        <v>3907803.420000001</v>
      </c>
      <c r="E5" s="81">
        <f t="shared" si="0"/>
        <v>20002935.000000004</v>
      </c>
      <c r="F5" s="81">
        <f t="shared" si="0"/>
        <v>3442305.9</v>
      </c>
      <c r="G5" s="81">
        <f t="shared" si="0"/>
        <v>-194713.09999999998</v>
      </c>
      <c r="H5" s="81">
        <f t="shared" si="0"/>
        <v>2636611.2399999998</v>
      </c>
      <c r="I5" s="81">
        <f t="shared" si="0"/>
        <v>4716.37</v>
      </c>
      <c r="J5" s="38">
        <f>H5-D5</f>
        <v>-1271192.180000001</v>
      </c>
      <c r="K5" s="38">
        <f>H5-F5</f>
        <v>-805694.6600000001</v>
      </c>
      <c r="L5" s="38">
        <f>H5-E5</f>
        <v>-17366323.760000005</v>
      </c>
      <c r="M5" s="38">
        <f>I5-G5</f>
        <v>199429.46999999997</v>
      </c>
      <c r="N5" s="39">
        <f aca="true" t="shared" si="1" ref="N5:N36">_xlfn.IFERROR(H5/D5,"")</f>
        <v>0.6747041641106909</v>
      </c>
      <c r="O5" s="39">
        <f aca="true" t="shared" si="2" ref="O5:O36">_xlfn.IFERROR(H5/F5,"")</f>
        <v>0.7659433288598785</v>
      </c>
      <c r="P5" s="39">
        <f aca="true" t="shared" si="3" ref="P5:P36">_xlfn.IFERROR(H5/E5,"")</f>
        <v>0.1318112187036552</v>
      </c>
      <c r="R5" s="59"/>
    </row>
    <row r="6" spans="1:21" ht="15.75">
      <c r="A6" s="91" t="s">
        <v>10</v>
      </c>
      <c r="B6" s="55" t="s">
        <v>11</v>
      </c>
      <c r="C6" s="4" t="s">
        <v>12</v>
      </c>
      <c r="D6" s="5">
        <v>2895067.170000001</v>
      </c>
      <c r="E6" s="5">
        <f>14235121.9+613644.6</f>
        <v>14848766.5</v>
      </c>
      <c r="F6" s="5">
        <v>2444701.2</v>
      </c>
      <c r="G6" s="5">
        <v>-351911.1</v>
      </c>
      <c r="H6" s="74">
        <v>1997297.2599999998</v>
      </c>
      <c r="I6" s="74">
        <f>910.66+227.5</f>
        <v>1138.1599999999999</v>
      </c>
      <c r="J6" s="5">
        <f aca="true" t="shared" si="4" ref="J6:J60">H6-D6</f>
        <v>-897769.9100000011</v>
      </c>
      <c r="K6" s="5">
        <f aca="true" t="shared" si="5" ref="K6:K69">H6-F6</f>
        <v>-447403.9400000004</v>
      </c>
      <c r="L6" s="5">
        <f aca="true" t="shared" si="6" ref="L6:L69">H6-E6</f>
        <v>-12851469.24</v>
      </c>
      <c r="M6" s="5">
        <f>I6-G6</f>
        <v>353049.25999999995</v>
      </c>
      <c r="N6" s="34">
        <f t="shared" si="1"/>
        <v>0.6898966907216868</v>
      </c>
      <c r="O6" s="34">
        <f t="shared" si="2"/>
        <v>0.8169903381239391</v>
      </c>
      <c r="P6" s="34">
        <f t="shared" si="3"/>
        <v>0.13450930486380802</v>
      </c>
      <c r="U6" s="59"/>
    </row>
    <row r="7" spans="1:21" ht="15.75">
      <c r="A7" s="92"/>
      <c r="B7" s="55" t="s">
        <v>7</v>
      </c>
      <c r="C7" s="2" t="s">
        <v>8</v>
      </c>
      <c r="D7" s="3">
        <v>16787.390000000003</v>
      </c>
      <c r="E7" s="3">
        <v>80057.5</v>
      </c>
      <c r="F7" s="3">
        <v>22570</v>
      </c>
      <c r="G7" s="3">
        <v>4720</v>
      </c>
      <c r="H7" s="75">
        <v>18429.57</v>
      </c>
      <c r="I7" s="75">
        <v>0</v>
      </c>
      <c r="J7" s="3">
        <f>H7-D7</f>
        <v>1642.1799999999967</v>
      </c>
      <c r="K7" s="3">
        <f>H7-F7</f>
        <v>-4140.43</v>
      </c>
      <c r="L7" s="3">
        <f>H7-E7</f>
        <v>-61627.93</v>
      </c>
      <c r="M7" s="3">
        <f>I7-G7</f>
        <v>-4720</v>
      </c>
      <c r="N7" s="34">
        <f t="shared" si="1"/>
        <v>1.0978222344271502</v>
      </c>
      <c r="O7" s="34">
        <f t="shared" si="2"/>
        <v>0.8165516171909615</v>
      </c>
      <c r="P7" s="34">
        <f t="shared" si="3"/>
        <v>0.23020416575586297</v>
      </c>
      <c r="U7" s="59"/>
    </row>
    <row r="8" spans="1:21" ht="15.75">
      <c r="A8" s="92"/>
      <c r="B8" s="55" t="s">
        <v>11</v>
      </c>
      <c r="C8" s="4" t="s">
        <v>96</v>
      </c>
      <c r="D8" s="5"/>
      <c r="E8" s="5">
        <v>1204375.9</v>
      </c>
      <c r="F8" s="5">
        <v>218966.3</v>
      </c>
      <c r="G8" s="5">
        <v>0</v>
      </c>
      <c r="H8" s="74">
        <v>159669.84000000003</v>
      </c>
      <c r="I8" s="74">
        <v>0</v>
      </c>
      <c r="J8" s="5">
        <f>H8-D8</f>
        <v>159669.84000000003</v>
      </c>
      <c r="K8" s="5">
        <f>H8-F8</f>
        <v>-59296.45999999996</v>
      </c>
      <c r="L8" s="5">
        <f>H8-E8</f>
        <v>-1044706.0599999998</v>
      </c>
      <c r="M8" s="5">
        <f aca="true" t="shared" si="7" ref="M8:M69">I8-G8</f>
        <v>0</v>
      </c>
      <c r="N8" s="34">
        <f t="shared" si="1"/>
      </c>
      <c r="O8" s="34">
        <f t="shared" si="2"/>
        <v>0.7291982373543328</v>
      </c>
      <c r="P8" s="34">
        <f t="shared" si="3"/>
        <v>0.1325747551076039</v>
      </c>
      <c r="U8" s="59"/>
    </row>
    <row r="9" spans="1:21" ht="15.75">
      <c r="A9" s="92"/>
      <c r="B9" s="55" t="s">
        <v>11</v>
      </c>
      <c r="C9" s="4" t="s">
        <v>13</v>
      </c>
      <c r="D9" s="5">
        <v>1501.2</v>
      </c>
      <c r="E9" s="5"/>
      <c r="F9" s="5"/>
      <c r="G9" s="5"/>
      <c r="H9" s="75">
        <v>-3643.4100000000003</v>
      </c>
      <c r="I9" s="75">
        <v>0</v>
      </c>
      <c r="J9" s="5">
        <f t="shared" si="4"/>
        <v>-5144.610000000001</v>
      </c>
      <c r="K9" s="5">
        <f>H9-F9</f>
        <v>-3643.4100000000003</v>
      </c>
      <c r="L9" s="5">
        <f t="shared" si="6"/>
        <v>-3643.4100000000003</v>
      </c>
      <c r="M9" s="5">
        <f t="shared" si="7"/>
        <v>0</v>
      </c>
      <c r="N9" s="34">
        <f t="shared" si="1"/>
        <v>-2.426998401278977</v>
      </c>
      <c r="O9" s="34">
        <f t="shared" si="2"/>
      </c>
      <c r="P9" s="34">
        <f t="shared" si="3"/>
      </c>
      <c r="U9" s="59"/>
    </row>
    <row r="10" spans="1:21" ht="15.75">
      <c r="A10" s="92"/>
      <c r="B10" s="55" t="s">
        <v>11</v>
      </c>
      <c r="C10" s="4" t="s">
        <v>14</v>
      </c>
      <c r="D10" s="5">
        <v>2122.0299999999997</v>
      </c>
      <c r="E10" s="5">
        <v>4690.3</v>
      </c>
      <c r="F10" s="5">
        <v>2720.4</v>
      </c>
      <c r="G10" s="5">
        <v>0</v>
      </c>
      <c r="H10" s="76">
        <v>45.63</v>
      </c>
      <c r="I10" s="76">
        <v>0</v>
      </c>
      <c r="J10" s="5">
        <f t="shared" si="4"/>
        <v>-2076.3999999999996</v>
      </c>
      <c r="K10" s="5">
        <f t="shared" si="5"/>
        <v>-2674.77</v>
      </c>
      <c r="L10" s="5">
        <f t="shared" si="6"/>
        <v>-4644.67</v>
      </c>
      <c r="M10" s="5">
        <f t="shared" si="7"/>
        <v>0</v>
      </c>
      <c r="N10" s="34">
        <f t="shared" si="1"/>
        <v>0.021502994773872193</v>
      </c>
      <c r="O10" s="34">
        <f t="shared" si="2"/>
        <v>0.01677326863696515</v>
      </c>
      <c r="P10" s="34">
        <f t="shared" si="3"/>
        <v>0.009728588789629662</v>
      </c>
      <c r="U10" s="59"/>
    </row>
    <row r="11" spans="1:21" ht="31.5">
      <c r="A11" s="92"/>
      <c r="B11" s="55" t="s">
        <v>11</v>
      </c>
      <c r="C11" s="4" t="s">
        <v>98</v>
      </c>
      <c r="D11" s="5">
        <v>88877.65</v>
      </c>
      <c r="E11" s="5">
        <v>314766.5</v>
      </c>
      <c r="F11" s="5">
        <v>118216</v>
      </c>
      <c r="G11" s="5">
        <v>116393</v>
      </c>
      <c r="H11" s="76">
        <v>-38115.770000000004</v>
      </c>
      <c r="I11" s="76">
        <v>0</v>
      </c>
      <c r="J11" s="5">
        <f t="shared" si="4"/>
        <v>-126993.42</v>
      </c>
      <c r="K11" s="5">
        <f t="shared" si="5"/>
        <v>-156331.77000000002</v>
      </c>
      <c r="L11" s="5">
        <f t="shared" si="6"/>
        <v>-352882.27</v>
      </c>
      <c r="M11" s="5">
        <f t="shared" si="7"/>
        <v>-116393</v>
      </c>
      <c r="N11" s="34">
        <f t="shared" si="1"/>
        <v>-0.428856636060922</v>
      </c>
      <c r="O11" s="34">
        <f t="shared" si="2"/>
        <v>-0.32242479867361445</v>
      </c>
      <c r="P11" s="34">
        <f t="shared" si="3"/>
        <v>-0.12109220644509502</v>
      </c>
      <c r="U11" s="59"/>
    </row>
    <row r="12" spans="1:21" ht="15.75">
      <c r="A12" s="92"/>
      <c r="B12" s="55" t="s">
        <v>15</v>
      </c>
      <c r="C12" s="4" t="s">
        <v>16</v>
      </c>
      <c r="D12" s="5">
        <v>49877.700000000004</v>
      </c>
      <c r="E12" s="5">
        <v>1083466.2</v>
      </c>
      <c r="F12" s="5">
        <v>54200</v>
      </c>
      <c r="G12" s="5">
        <v>8900</v>
      </c>
      <c r="H12" s="76">
        <v>16499.66</v>
      </c>
      <c r="I12" s="76">
        <v>0</v>
      </c>
      <c r="J12" s="5">
        <f t="shared" si="4"/>
        <v>-33378.04000000001</v>
      </c>
      <c r="K12" s="5">
        <f t="shared" si="5"/>
        <v>-37700.34</v>
      </c>
      <c r="L12" s="5">
        <f t="shared" si="6"/>
        <v>-1066966.54</v>
      </c>
      <c r="M12" s="5">
        <f t="shared" si="7"/>
        <v>-8900</v>
      </c>
      <c r="N12" s="34">
        <f t="shared" si="1"/>
        <v>0.33080234252982793</v>
      </c>
      <c r="O12" s="34">
        <f t="shared" si="2"/>
        <v>0.3044217712177122</v>
      </c>
      <c r="P12" s="34">
        <f t="shared" si="3"/>
        <v>0.015228587656910757</v>
      </c>
      <c r="U12" s="59"/>
    </row>
    <row r="13" spans="1:21" ht="15.75">
      <c r="A13" s="92"/>
      <c r="B13" s="55" t="s">
        <v>79</v>
      </c>
      <c r="C13" s="4" t="s">
        <v>101</v>
      </c>
      <c r="D13" s="5">
        <v>193090.4</v>
      </c>
      <c r="E13" s="5"/>
      <c r="F13" s="5"/>
      <c r="G13" s="5"/>
      <c r="H13" s="76">
        <v>0</v>
      </c>
      <c r="I13" s="76">
        <v>0</v>
      </c>
      <c r="J13" s="5">
        <f t="shared" si="4"/>
        <v>-193090.4</v>
      </c>
      <c r="K13" s="5">
        <f t="shared" si="5"/>
        <v>0</v>
      </c>
      <c r="L13" s="5">
        <f t="shared" si="6"/>
        <v>0</v>
      </c>
      <c r="M13" s="5">
        <f t="shared" si="7"/>
        <v>0</v>
      </c>
      <c r="N13" s="34">
        <f t="shared" si="1"/>
        <v>0</v>
      </c>
      <c r="O13" s="34">
        <f t="shared" si="2"/>
      </c>
      <c r="P13" s="34">
        <f t="shared" si="3"/>
      </c>
      <c r="U13" s="59"/>
    </row>
    <row r="14" spans="1:21" ht="15.75">
      <c r="A14" s="92"/>
      <c r="B14" s="55" t="s">
        <v>15</v>
      </c>
      <c r="C14" s="4" t="s">
        <v>17</v>
      </c>
      <c r="D14" s="5">
        <v>604646.7300000001</v>
      </c>
      <c r="E14" s="5">
        <v>2237196.9</v>
      </c>
      <c r="F14" s="5">
        <v>509100</v>
      </c>
      <c r="G14" s="5">
        <v>9200</v>
      </c>
      <c r="H14" s="76">
        <v>441071.14</v>
      </c>
      <c r="I14" s="76">
        <v>0</v>
      </c>
      <c r="J14" s="5">
        <f t="shared" si="4"/>
        <v>-163575.59000000008</v>
      </c>
      <c r="K14" s="5">
        <f t="shared" si="5"/>
        <v>-68028.85999999999</v>
      </c>
      <c r="L14" s="5">
        <f t="shared" si="6"/>
        <v>-1796125.7599999998</v>
      </c>
      <c r="M14" s="5">
        <f t="shared" si="7"/>
        <v>-9200</v>
      </c>
      <c r="N14" s="34">
        <f t="shared" si="1"/>
        <v>0.7294691563121494</v>
      </c>
      <c r="O14" s="34">
        <f t="shared" si="2"/>
        <v>0.8663742683166372</v>
      </c>
      <c r="P14" s="34">
        <f t="shared" si="3"/>
        <v>0.19715347361691768</v>
      </c>
      <c r="U14" s="59"/>
    </row>
    <row r="15" spans="1:21" ht="15.75">
      <c r="A15" s="92"/>
      <c r="B15" s="55" t="s">
        <v>18</v>
      </c>
      <c r="C15" s="4" t="s">
        <v>19</v>
      </c>
      <c r="D15" s="5">
        <f>55457.39+0.3</f>
        <v>55457.69</v>
      </c>
      <c r="E15" s="5">
        <v>228385.6</v>
      </c>
      <c r="F15" s="5">
        <v>71455</v>
      </c>
      <c r="G15" s="5">
        <v>17875</v>
      </c>
      <c r="H15" s="77">
        <v>45265.82</v>
      </c>
      <c r="I15" s="77">
        <f>2473.39+1104.82</f>
        <v>3578.21</v>
      </c>
      <c r="J15" s="5">
        <f t="shared" si="4"/>
        <v>-10191.870000000003</v>
      </c>
      <c r="K15" s="5">
        <f t="shared" si="5"/>
        <v>-26189.18</v>
      </c>
      <c r="L15" s="5">
        <f t="shared" si="6"/>
        <v>-183119.78</v>
      </c>
      <c r="M15" s="5">
        <f t="shared" si="7"/>
        <v>-14296.79</v>
      </c>
      <c r="N15" s="34">
        <f t="shared" si="1"/>
        <v>0.8162226014101921</v>
      </c>
      <c r="O15" s="34">
        <f t="shared" si="2"/>
        <v>0.6334870897767826</v>
      </c>
      <c r="P15" s="34">
        <f t="shared" si="3"/>
        <v>0.19819909836697233</v>
      </c>
      <c r="U15" s="59"/>
    </row>
    <row r="16" spans="1:21" ht="15.75">
      <c r="A16" s="92"/>
      <c r="B16" s="55" t="s">
        <v>15</v>
      </c>
      <c r="C16" s="4" t="s">
        <v>20</v>
      </c>
      <c r="D16" s="5">
        <v>18.060000000000002</v>
      </c>
      <c r="E16" s="5"/>
      <c r="F16" s="5"/>
      <c r="G16" s="5"/>
      <c r="H16" s="78">
        <v>-0.1</v>
      </c>
      <c r="I16" s="78">
        <v>0</v>
      </c>
      <c r="J16" s="5">
        <f t="shared" si="4"/>
        <v>-18.160000000000004</v>
      </c>
      <c r="K16" s="5">
        <f t="shared" si="5"/>
        <v>-0.1</v>
      </c>
      <c r="L16" s="5">
        <f t="shared" si="6"/>
        <v>-0.1</v>
      </c>
      <c r="M16" s="5">
        <f t="shared" si="7"/>
        <v>0</v>
      </c>
      <c r="N16" s="34">
        <f t="shared" si="1"/>
        <v>-0.005537098560354374</v>
      </c>
      <c r="O16" s="34">
        <f t="shared" si="2"/>
      </c>
      <c r="P16" s="34">
        <f t="shared" si="3"/>
      </c>
      <c r="U16" s="59"/>
    </row>
    <row r="17" spans="1:21" ht="15.75">
      <c r="A17" s="93"/>
      <c r="B17" s="43"/>
      <c r="C17" s="44" t="s">
        <v>9</v>
      </c>
      <c r="D17" s="27">
        <f aca="true" t="shared" si="8" ref="D17:I17">SUM(D6:D16)</f>
        <v>3907446.020000001</v>
      </c>
      <c r="E17" s="27">
        <f t="shared" si="8"/>
        <v>20001705.400000002</v>
      </c>
      <c r="F17" s="27">
        <f t="shared" si="8"/>
        <v>3441928.9</v>
      </c>
      <c r="G17" s="27">
        <f t="shared" si="8"/>
        <v>-194823.09999999998</v>
      </c>
      <c r="H17" s="27">
        <f t="shared" si="8"/>
        <v>2636519.6399999997</v>
      </c>
      <c r="I17" s="27">
        <f t="shared" si="8"/>
        <v>4716.37</v>
      </c>
      <c r="J17" s="27">
        <f t="shared" si="4"/>
        <v>-1270926.3800000013</v>
      </c>
      <c r="K17" s="27">
        <f t="shared" si="5"/>
        <v>-805409.2600000002</v>
      </c>
      <c r="L17" s="27">
        <f t="shared" si="6"/>
        <v>-17365185.76</v>
      </c>
      <c r="M17" s="27">
        <f>I17-G17</f>
        <v>199539.46999999997</v>
      </c>
      <c r="N17" s="45">
        <f t="shared" si="1"/>
        <v>0.6747424344457096</v>
      </c>
      <c r="O17" s="45">
        <f t="shared" si="2"/>
        <v>0.7660006108783943</v>
      </c>
      <c r="P17" s="45">
        <f t="shared" si="3"/>
        <v>0.13181474215693625</v>
      </c>
      <c r="U17" s="59"/>
    </row>
    <row r="18" spans="1:21" ht="15.75">
      <c r="A18" s="56" t="s">
        <v>76</v>
      </c>
      <c r="B18" s="55" t="s">
        <v>22</v>
      </c>
      <c r="C18" s="4" t="s">
        <v>23</v>
      </c>
      <c r="D18" s="5">
        <v>32</v>
      </c>
      <c r="E18" s="5">
        <v>140</v>
      </c>
      <c r="F18" s="5">
        <v>45</v>
      </c>
      <c r="G18" s="5">
        <v>10</v>
      </c>
      <c r="H18" s="79">
        <v>20</v>
      </c>
      <c r="I18" s="79">
        <v>0</v>
      </c>
      <c r="J18" s="5">
        <f t="shared" si="4"/>
        <v>-12</v>
      </c>
      <c r="K18" s="5">
        <f t="shared" si="5"/>
        <v>-25</v>
      </c>
      <c r="L18" s="5">
        <f t="shared" si="6"/>
        <v>-120</v>
      </c>
      <c r="M18" s="5">
        <f t="shared" si="7"/>
        <v>-10</v>
      </c>
      <c r="N18" s="34">
        <f t="shared" si="1"/>
        <v>0.625</v>
      </c>
      <c r="O18" s="34">
        <f t="shared" si="2"/>
        <v>0.4444444444444444</v>
      </c>
      <c r="P18" s="34">
        <f t="shared" si="3"/>
        <v>0.14285714285714285</v>
      </c>
      <c r="U18" s="59"/>
    </row>
    <row r="19" spans="1:21" ht="19.5" customHeight="1">
      <c r="A19" s="56" t="s">
        <v>21</v>
      </c>
      <c r="B19" s="55" t="s">
        <v>22</v>
      </c>
      <c r="C19" s="4" t="s">
        <v>97</v>
      </c>
      <c r="D19" s="5">
        <v>55.8</v>
      </c>
      <c r="E19" s="5"/>
      <c r="F19" s="5"/>
      <c r="G19" s="5"/>
      <c r="H19" s="79">
        <v>34.4</v>
      </c>
      <c r="I19" s="79">
        <v>0</v>
      </c>
      <c r="J19" s="5">
        <f t="shared" si="4"/>
        <v>-21.4</v>
      </c>
      <c r="K19" s="5">
        <f t="shared" si="5"/>
        <v>34.4</v>
      </c>
      <c r="L19" s="5">
        <f t="shared" si="6"/>
        <v>34.4</v>
      </c>
      <c r="M19" s="5">
        <f t="shared" si="7"/>
        <v>0</v>
      </c>
      <c r="N19" s="34">
        <f t="shared" si="1"/>
        <v>0.6164874551971327</v>
      </c>
      <c r="O19" s="34">
        <f t="shared" si="2"/>
      </c>
      <c r="P19" s="34">
        <f t="shared" si="3"/>
      </c>
      <c r="U19" s="59"/>
    </row>
    <row r="20" spans="1:21" ht="31.5">
      <c r="A20" s="57" t="s">
        <v>25</v>
      </c>
      <c r="B20" s="58" t="s">
        <v>78</v>
      </c>
      <c r="C20" s="4" t="s">
        <v>26</v>
      </c>
      <c r="D20" s="5">
        <v>249.6</v>
      </c>
      <c r="E20" s="5">
        <v>969.6</v>
      </c>
      <c r="F20" s="5">
        <v>307</v>
      </c>
      <c r="G20" s="5">
        <v>85</v>
      </c>
      <c r="H20" s="79">
        <v>27.2</v>
      </c>
      <c r="I20" s="79">
        <v>0</v>
      </c>
      <c r="J20" s="5">
        <f t="shared" si="4"/>
        <v>-222.4</v>
      </c>
      <c r="K20" s="5">
        <f t="shared" si="5"/>
        <v>-279.8</v>
      </c>
      <c r="L20" s="5">
        <f t="shared" si="6"/>
        <v>-942.4</v>
      </c>
      <c r="M20" s="5">
        <f t="shared" si="7"/>
        <v>-85</v>
      </c>
      <c r="N20" s="34">
        <f t="shared" si="1"/>
        <v>0.10897435897435898</v>
      </c>
      <c r="O20" s="34">
        <f t="shared" si="2"/>
        <v>0.08859934853420195</v>
      </c>
      <c r="P20" s="34">
        <f t="shared" si="3"/>
        <v>0.028052805280528052</v>
      </c>
      <c r="U20" s="59"/>
    </row>
    <row r="21" spans="1:21" ht="15.75">
      <c r="A21" s="56" t="s">
        <v>24</v>
      </c>
      <c r="B21" s="55" t="s">
        <v>11</v>
      </c>
      <c r="C21" s="4" t="s">
        <v>80</v>
      </c>
      <c r="D21" s="5">
        <v>20</v>
      </c>
      <c r="E21" s="5">
        <v>120</v>
      </c>
      <c r="F21" s="5">
        <v>25</v>
      </c>
      <c r="G21" s="5">
        <v>15</v>
      </c>
      <c r="H21" s="79">
        <v>10</v>
      </c>
      <c r="I21" s="79">
        <v>0</v>
      </c>
      <c r="J21" s="5">
        <f t="shared" si="4"/>
        <v>-10</v>
      </c>
      <c r="K21" s="5">
        <f t="shared" si="5"/>
        <v>-15</v>
      </c>
      <c r="L21" s="5">
        <f t="shared" si="6"/>
        <v>-110</v>
      </c>
      <c r="M21" s="5">
        <f t="shared" si="7"/>
        <v>-15</v>
      </c>
      <c r="N21" s="34">
        <f t="shared" si="1"/>
        <v>0.5</v>
      </c>
      <c r="O21" s="34">
        <f t="shared" si="2"/>
        <v>0.4</v>
      </c>
      <c r="P21" s="34">
        <f t="shared" si="3"/>
        <v>0.08333333333333333</v>
      </c>
      <c r="U21" s="59"/>
    </row>
    <row r="22" spans="1:21" ht="27.75" customHeight="1">
      <c r="A22" s="97"/>
      <c r="B22" s="97"/>
      <c r="C22" s="40" t="s">
        <v>27</v>
      </c>
      <c r="D22" s="84">
        <f aca="true" t="shared" si="9" ref="D22:I22">D26+D29+D37+D47+D49+D55+D59+D61+D72</f>
        <v>1398944.68</v>
      </c>
      <c r="E22" s="85">
        <f t="shared" si="9"/>
        <v>6224060.930000001</v>
      </c>
      <c r="F22" s="85">
        <f t="shared" si="9"/>
        <v>2018890.21</v>
      </c>
      <c r="G22" s="85">
        <f t="shared" si="9"/>
        <v>545970.5000000001</v>
      </c>
      <c r="H22" s="85">
        <f t="shared" si="9"/>
        <v>1839137.3599999999</v>
      </c>
      <c r="I22" s="85">
        <f t="shared" si="9"/>
        <v>159083.2</v>
      </c>
      <c r="J22" s="38">
        <f t="shared" si="4"/>
        <v>440192.67999999993</v>
      </c>
      <c r="K22" s="38">
        <f t="shared" si="5"/>
        <v>-179752.8500000001</v>
      </c>
      <c r="L22" s="38">
        <f t="shared" si="6"/>
        <v>-4384923.57</v>
      </c>
      <c r="M22" s="38">
        <f t="shared" si="7"/>
        <v>-386887.3000000001</v>
      </c>
      <c r="N22" s="39">
        <f t="shared" si="1"/>
        <v>1.3146605339676476</v>
      </c>
      <c r="O22" s="39">
        <f t="shared" si="2"/>
        <v>0.9109645244156194</v>
      </c>
      <c r="P22" s="39">
        <f t="shared" si="3"/>
        <v>0.2954883283894844</v>
      </c>
      <c r="T22" s="6"/>
      <c r="U22" s="59"/>
    </row>
    <row r="23" spans="1:16" ht="31.5">
      <c r="A23" s="91" t="s">
        <v>25</v>
      </c>
      <c r="B23" s="94" t="s">
        <v>78</v>
      </c>
      <c r="C23" s="7" t="s">
        <v>99</v>
      </c>
      <c r="D23" s="5">
        <v>28302.65</v>
      </c>
      <c r="E23" s="5">
        <f>135475.5+25225.6</f>
        <v>160701.1</v>
      </c>
      <c r="F23" s="5">
        <v>46850</v>
      </c>
      <c r="G23" s="5">
        <v>13600</v>
      </c>
      <c r="H23" s="11">
        <v>40610.9</v>
      </c>
      <c r="I23" s="11">
        <v>3334.59</v>
      </c>
      <c r="J23" s="8">
        <f t="shared" si="4"/>
        <v>12308.25</v>
      </c>
      <c r="K23" s="8">
        <f t="shared" si="5"/>
        <v>-6239.0999999999985</v>
      </c>
      <c r="L23" s="8">
        <f t="shared" si="6"/>
        <v>-120090.20000000001</v>
      </c>
      <c r="M23" s="8">
        <f t="shared" si="7"/>
        <v>-10265.41</v>
      </c>
      <c r="N23" s="35">
        <f t="shared" si="1"/>
        <v>1.4348797727421283</v>
      </c>
      <c r="O23" s="35">
        <f t="shared" si="2"/>
        <v>0.866828175026681</v>
      </c>
      <c r="P23" s="35">
        <f t="shared" si="3"/>
        <v>0.25271077795982727</v>
      </c>
    </row>
    <row r="24" spans="1:16" ht="15.75">
      <c r="A24" s="92"/>
      <c r="B24" s="95"/>
      <c r="C24" s="7" t="s">
        <v>28</v>
      </c>
      <c r="D24" s="3"/>
      <c r="E24" s="5">
        <v>31937.8</v>
      </c>
      <c r="F24" s="5">
        <f>G24</f>
        <v>31937.8</v>
      </c>
      <c r="G24" s="5">
        <v>31937.8</v>
      </c>
      <c r="H24" s="8">
        <v>9834.5</v>
      </c>
      <c r="I24" s="8">
        <v>0</v>
      </c>
      <c r="J24" s="5">
        <f t="shared" si="4"/>
        <v>9834.5</v>
      </c>
      <c r="K24" s="5">
        <f t="shared" si="5"/>
        <v>-22103.3</v>
      </c>
      <c r="L24" s="5">
        <f t="shared" si="6"/>
        <v>-22103.3</v>
      </c>
      <c r="M24" s="5">
        <f t="shared" si="7"/>
        <v>-31937.8</v>
      </c>
      <c r="N24" s="35">
        <f t="shared" si="1"/>
      </c>
      <c r="O24" s="35">
        <f t="shared" si="2"/>
        <v>0.30792665744039976</v>
      </c>
      <c r="P24" s="35">
        <f t="shared" si="3"/>
        <v>0.30792665744039976</v>
      </c>
    </row>
    <row r="25" spans="1:16" ht="15.75">
      <c r="A25" s="92"/>
      <c r="B25" s="95"/>
      <c r="C25" s="7" t="s">
        <v>51</v>
      </c>
      <c r="D25" s="3">
        <v>17757.519999999997</v>
      </c>
      <c r="E25" s="5">
        <f>110819.4+14383.9-8662.9</f>
        <v>116540.4</v>
      </c>
      <c r="F25" s="5">
        <v>31150</v>
      </c>
      <c r="G25" s="5">
        <v>8200</v>
      </c>
      <c r="H25" s="3">
        <v>25668.260000000002</v>
      </c>
      <c r="I25" s="3">
        <v>1753.0099999999998</v>
      </c>
      <c r="J25" s="8">
        <f t="shared" si="4"/>
        <v>7910.740000000005</v>
      </c>
      <c r="K25" s="8">
        <f t="shared" si="5"/>
        <v>-5481.739999999998</v>
      </c>
      <c r="L25" s="8">
        <f t="shared" si="6"/>
        <v>-90872.13999999998</v>
      </c>
      <c r="M25" s="8">
        <f t="shared" si="7"/>
        <v>-6446.99</v>
      </c>
      <c r="N25" s="35">
        <f t="shared" si="1"/>
        <v>1.445486757159784</v>
      </c>
      <c r="O25" s="35">
        <f t="shared" si="2"/>
        <v>0.8240211878009631</v>
      </c>
      <c r="P25" s="35">
        <f t="shared" si="3"/>
        <v>0.22025203277146813</v>
      </c>
    </row>
    <row r="26" spans="1:16" ht="15.75">
      <c r="A26" s="93"/>
      <c r="B26" s="96"/>
      <c r="C26" s="44" t="s">
        <v>9</v>
      </c>
      <c r="D26" s="27">
        <f aca="true" t="shared" si="10" ref="D26:I26">SUM(D23:D25)</f>
        <v>46060.17</v>
      </c>
      <c r="E26" s="27">
        <f t="shared" si="10"/>
        <v>309179.3</v>
      </c>
      <c r="F26" s="27">
        <f t="shared" si="10"/>
        <v>109937.8</v>
      </c>
      <c r="G26" s="27">
        <f t="shared" si="10"/>
        <v>53737.8</v>
      </c>
      <c r="H26" s="27">
        <f t="shared" si="10"/>
        <v>76113.66</v>
      </c>
      <c r="I26" s="27">
        <f t="shared" si="10"/>
        <v>5087.6</v>
      </c>
      <c r="J26" s="27">
        <f t="shared" si="4"/>
        <v>30053.490000000005</v>
      </c>
      <c r="K26" s="27">
        <f t="shared" si="5"/>
        <v>-33824.14</v>
      </c>
      <c r="L26" s="27">
        <f t="shared" si="6"/>
        <v>-233065.63999999998</v>
      </c>
      <c r="M26" s="27">
        <f t="shared" si="7"/>
        <v>-48650.200000000004</v>
      </c>
      <c r="N26" s="46">
        <f t="shared" si="1"/>
        <v>1.652483262654046</v>
      </c>
      <c r="O26" s="46">
        <f t="shared" si="2"/>
        <v>0.6923338469570975</v>
      </c>
      <c r="P26" s="46">
        <f t="shared" si="3"/>
        <v>0.24617967632373838</v>
      </c>
    </row>
    <row r="27" spans="1:16" ht="31.5">
      <c r="A27" s="86">
        <v>951</v>
      </c>
      <c r="B27" s="86" t="s">
        <v>11</v>
      </c>
      <c r="C27" s="9" t="s">
        <v>29</v>
      </c>
      <c r="D27" s="5">
        <v>20520.99</v>
      </c>
      <c r="E27" s="5">
        <v>91712.1</v>
      </c>
      <c r="F27" s="5">
        <v>24803</v>
      </c>
      <c r="G27" s="5">
        <v>5900</v>
      </c>
      <c r="H27" s="11">
        <v>25442.47</v>
      </c>
      <c r="I27" s="11">
        <v>8481.34</v>
      </c>
      <c r="J27" s="5">
        <f t="shared" si="4"/>
        <v>4921.48</v>
      </c>
      <c r="K27" s="5">
        <f t="shared" si="5"/>
        <v>639.4700000000012</v>
      </c>
      <c r="L27" s="5">
        <f t="shared" si="6"/>
        <v>-66269.63</v>
      </c>
      <c r="M27" s="5">
        <f t="shared" si="7"/>
        <v>2581.34</v>
      </c>
      <c r="N27" s="35">
        <f t="shared" si="1"/>
        <v>1.2398266360443624</v>
      </c>
      <c r="O27" s="35">
        <f t="shared" si="2"/>
        <v>1.0257819618594526</v>
      </c>
      <c r="P27" s="35">
        <f t="shared" si="3"/>
        <v>0.2774167203673234</v>
      </c>
    </row>
    <row r="28" spans="1:16" ht="15.75">
      <c r="A28" s="86"/>
      <c r="B28" s="86"/>
      <c r="C28" s="7" t="s">
        <v>30</v>
      </c>
      <c r="D28" s="5">
        <v>2386.89</v>
      </c>
      <c r="E28" s="5">
        <v>14224.9</v>
      </c>
      <c r="F28" s="5">
        <v>1241.3</v>
      </c>
      <c r="G28" s="5">
        <v>599</v>
      </c>
      <c r="H28" s="11">
        <v>2564.03</v>
      </c>
      <c r="I28" s="11">
        <v>151.11</v>
      </c>
      <c r="J28" s="5">
        <f t="shared" si="4"/>
        <v>177.14000000000033</v>
      </c>
      <c r="K28" s="5">
        <f t="shared" si="5"/>
        <v>1322.7300000000002</v>
      </c>
      <c r="L28" s="5">
        <f t="shared" si="6"/>
        <v>-11660.869999999999</v>
      </c>
      <c r="M28" s="5">
        <f t="shared" si="7"/>
        <v>-447.89</v>
      </c>
      <c r="N28" s="35">
        <f t="shared" si="1"/>
        <v>1.0742137258105737</v>
      </c>
      <c r="O28" s="35">
        <f t="shared" si="2"/>
        <v>2.0656005800370583</v>
      </c>
      <c r="P28" s="35">
        <f t="shared" si="3"/>
        <v>0.18024942178855388</v>
      </c>
    </row>
    <row r="29" spans="1:16" ht="15.75">
      <c r="A29" s="86"/>
      <c r="B29" s="86"/>
      <c r="C29" s="47" t="s">
        <v>9</v>
      </c>
      <c r="D29" s="27">
        <f aca="true" t="shared" si="11" ref="D29:I29">D27+D28</f>
        <v>22907.88</v>
      </c>
      <c r="E29" s="27">
        <f t="shared" si="11"/>
        <v>105937</v>
      </c>
      <c r="F29" s="27">
        <f t="shared" si="11"/>
        <v>26044.3</v>
      </c>
      <c r="G29" s="27">
        <f t="shared" si="11"/>
        <v>6499</v>
      </c>
      <c r="H29" s="27">
        <f t="shared" si="11"/>
        <v>28006.5</v>
      </c>
      <c r="I29" s="27">
        <f t="shared" si="11"/>
        <v>8632.45</v>
      </c>
      <c r="J29" s="27">
        <f t="shared" si="4"/>
        <v>5098.619999999999</v>
      </c>
      <c r="K29" s="27">
        <f t="shared" si="5"/>
        <v>1962.2000000000007</v>
      </c>
      <c r="L29" s="27">
        <f t="shared" si="6"/>
        <v>-77930.5</v>
      </c>
      <c r="M29" s="27">
        <f t="shared" si="7"/>
        <v>2133.4500000000007</v>
      </c>
      <c r="N29" s="46">
        <f t="shared" si="1"/>
        <v>1.2225705739684336</v>
      </c>
      <c r="O29" s="46">
        <f t="shared" si="2"/>
        <v>1.0753408615320819</v>
      </c>
      <c r="P29" s="46">
        <f t="shared" si="3"/>
        <v>0.26436938935405</v>
      </c>
    </row>
    <row r="30" spans="1:16" ht="15.75">
      <c r="A30" s="98" t="s">
        <v>31</v>
      </c>
      <c r="B30" s="86" t="s">
        <v>32</v>
      </c>
      <c r="C30" s="7" t="s">
        <v>33</v>
      </c>
      <c r="D30" s="3"/>
      <c r="E30" s="3">
        <v>496</v>
      </c>
      <c r="F30" s="3">
        <f>G30</f>
        <v>0</v>
      </c>
      <c r="G30" s="3">
        <v>0</v>
      </c>
      <c r="H30" s="3">
        <v>0</v>
      </c>
      <c r="I30" s="3">
        <v>0</v>
      </c>
      <c r="J30" s="3">
        <f t="shared" si="4"/>
        <v>0</v>
      </c>
      <c r="K30" s="3">
        <f t="shared" si="5"/>
        <v>0</v>
      </c>
      <c r="L30" s="3">
        <f t="shared" si="6"/>
        <v>-496</v>
      </c>
      <c r="M30" s="3">
        <f t="shared" si="7"/>
        <v>0</v>
      </c>
      <c r="N30" s="35">
        <f t="shared" si="1"/>
      </c>
      <c r="O30" s="35">
        <f t="shared" si="2"/>
      </c>
      <c r="P30" s="35">
        <f t="shared" si="3"/>
        <v>0</v>
      </c>
    </row>
    <row r="31" spans="1:16" ht="15.75">
      <c r="A31" s="98"/>
      <c r="B31" s="86"/>
      <c r="C31" s="10" t="s">
        <v>34</v>
      </c>
      <c r="D31" s="3">
        <v>20072.1</v>
      </c>
      <c r="E31" s="3">
        <v>100081.7</v>
      </c>
      <c r="F31" s="3">
        <v>29500</v>
      </c>
      <c r="G31" s="3">
        <v>8500</v>
      </c>
      <c r="H31" s="3">
        <v>23173.84</v>
      </c>
      <c r="I31" s="3">
        <v>540.1700000000001</v>
      </c>
      <c r="J31" s="3">
        <f t="shared" si="4"/>
        <v>3101.7400000000016</v>
      </c>
      <c r="K31" s="3">
        <f t="shared" si="5"/>
        <v>-6326.16</v>
      </c>
      <c r="L31" s="3">
        <f t="shared" si="6"/>
        <v>-76907.86</v>
      </c>
      <c r="M31" s="3">
        <f t="shared" si="7"/>
        <v>-7959.83</v>
      </c>
      <c r="N31" s="35">
        <f t="shared" si="1"/>
        <v>1.154529919639699</v>
      </c>
      <c r="O31" s="35">
        <f t="shared" si="2"/>
        <v>0.7855538983050847</v>
      </c>
      <c r="P31" s="35">
        <f t="shared" si="3"/>
        <v>0.23154922428376018</v>
      </c>
    </row>
    <row r="32" spans="1:16" ht="15.75">
      <c r="A32" s="98"/>
      <c r="B32" s="86"/>
      <c r="C32" s="9" t="s">
        <v>35</v>
      </c>
      <c r="D32" s="3">
        <v>139.25</v>
      </c>
      <c r="E32" s="3">
        <v>557</v>
      </c>
      <c r="F32" s="3">
        <v>185.6</v>
      </c>
      <c r="G32" s="3">
        <v>46.4</v>
      </c>
      <c r="H32" s="3">
        <v>3034.43</v>
      </c>
      <c r="I32" s="3">
        <v>472.85</v>
      </c>
      <c r="J32" s="3">
        <f t="shared" si="4"/>
        <v>2895.18</v>
      </c>
      <c r="K32" s="3">
        <f t="shared" si="5"/>
        <v>2848.83</v>
      </c>
      <c r="L32" s="3">
        <f t="shared" si="6"/>
        <v>2477.43</v>
      </c>
      <c r="M32" s="3">
        <f t="shared" si="7"/>
        <v>426.45000000000005</v>
      </c>
      <c r="N32" s="35">
        <f t="shared" si="1"/>
        <v>21.791238779174147</v>
      </c>
      <c r="O32" s="35">
        <f t="shared" si="2"/>
        <v>16.349299568965517</v>
      </c>
      <c r="P32" s="35">
        <f t="shared" si="3"/>
        <v>5.447809694793537</v>
      </c>
    </row>
    <row r="33" spans="1:16" ht="15.75">
      <c r="A33" s="98"/>
      <c r="B33" s="86"/>
      <c r="C33" s="9" t="s">
        <v>36</v>
      </c>
      <c r="D33" s="5">
        <f aca="true" t="shared" si="12" ref="D33:I33">D34+D36+D35</f>
        <v>22391.39</v>
      </c>
      <c r="E33" s="5">
        <f t="shared" si="12"/>
        <v>200264</v>
      </c>
      <c r="F33" s="5">
        <f t="shared" si="12"/>
        <v>141149.9</v>
      </c>
      <c r="G33" s="5">
        <f t="shared" si="12"/>
        <v>42635.9</v>
      </c>
      <c r="H33" s="5">
        <f t="shared" si="12"/>
        <v>142641.06</v>
      </c>
      <c r="I33" s="5">
        <f t="shared" si="12"/>
        <v>4873.88</v>
      </c>
      <c r="J33" s="11">
        <f t="shared" si="4"/>
        <v>120249.67</v>
      </c>
      <c r="K33" s="11">
        <f t="shared" si="5"/>
        <v>1491.1600000000035</v>
      </c>
      <c r="L33" s="11">
        <f t="shared" si="6"/>
        <v>-57622.94</v>
      </c>
      <c r="M33" s="11">
        <f t="shared" si="7"/>
        <v>-37762.020000000004</v>
      </c>
      <c r="N33" s="35">
        <f t="shared" si="1"/>
        <v>6.370353068746514</v>
      </c>
      <c r="O33" s="35">
        <f t="shared" si="2"/>
        <v>1.0105643716361117</v>
      </c>
      <c r="P33" s="35">
        <f t="shared" si="3"/>
        <v>0.7122651100547277</v>
      </c>
    </row>
    <row r="34" spans="1:16" ht="15.75">
      <c r="A34" s="98"/>
      <c r="B34" s="86"/>
      <c r="C34" s="12" t="s">
        <v>37</v>
      </c>
      <c r="D34" s="13">
        <v>12223.08</v>
      </c>
      <c r="E34" s="83">
        <f>48594.6+85630.3+29092.9</f>
        <v>163317.8</v>
      </c>
      <c r="F34" s="83">
        <f>115493.1+14325.9</f>
        <v>129819</v>
      </c>
      <c r="G34" s="83">
        <f>26000+14325.9</f>
        <v>40325.9</v>
      </c>
      <c r="H34" s="13">
        <v>129725.99</v>
      </c>
      <c r="I34" s="13">
        <v>3828.75</v>
      </c>
      <c r="J34" s="13">
        <f t="shared" si="4"/>
        <v>117502.91</v>
      </c>
      <c r="K34" s="13">
        <f t="shared" si="5"/>
        <v>-93.00999999999476</v>
      </c>
      <c r="L34" s="13">
        <f t="shared" si="6"/>
        <v>-33591.80999999998</v>
      </c>
      <c r="M34" s="13">
        <f t="shared" si="7"/>
        <v>-36497.15</v>
      </c>
      <c r="N34" s="35">
        <f t="shared" si="1"/>
        <v>10.61319978270616</v>
      </c>
      <c r="O34" s="35">
        <f t="shared" si="2"/>
        <v>0.9992835409300642</v>
      </c>
      <c r="P34" s="35">
        <f t="shared" si="3"/>
        <v>0.7943162962028635</v>
      </c>
    </row>
    <row r="35" spans="1:16" ht="15.75">
      <c r="A35" s="98"/>
      <c r="B35" s="86"/>
      <c r="C35" s="12" t="s">
        <v>38</v>
      </c>
      <c r="D35" s="13">
        <v>1307.34</v>
      </c>
      <c r="E35" s="83">
        <v>1867.8</v>
      </c>
      <c r="F35" s="83">
        <v>160.3</v>
      </c>
      <c r="G35" s="83">
        <v>0</v>
      </c>
      <c r="H35" s="13">
        <v>693.33</v>
      </c>
      <c r="I35" s="13">
        <v>0</v>
      </c>
      <c r="J35" s="13">
        <f t="shared" si="4"/>
        <v>-614.0099999999999</v>
      </c>
      <c r="K35" s="13">
        <f t="shared" si="5"/>
        <v>533.03</v>
      </c>
      <c r="L35" s="13">
        <f t="shared" si="6"/>
        <v>-1174.4699999999998</v>
      </c>
      <c r="M35" s="13">
        <f t="shared" si="7"/>
        <v>0</v>
      </c>
      <c r="N35" s="35">
        <f t="shared" si="1"/>
        <v>0.5303364082794071</v>
      </c>
      <c r="O35" s="35">
        <f t="shared" si="2"/>
        <v>4.325202744853399</v>
      </c>
      <c r="P35" s="35">
        <f t="shared" si="3"/>
        <v>0.37120141342756185</v>
      </c>
    </row>
    <row r="36" spans="1:16" ht="15.75">
      <c r="A36" s="98"/>
      <c r="B36" s="86"/>
      <c r="C36" s="12" t="s">
        <v>39</v>
      </c>
      <c r="D36" s="27">
        <v>8860.97</v>
      </c>
      <c r="E36" s="5">
        <f>35078.4+85630.3-85630.3</f>
        <v>35078.40000000001</v>
      </c>
      <c r="F36" s="5">
        <v>11170.6</v>
      </c>
      <c r="G36" s="5">
        <v>2310</v>
      </c>
      <c r="H36" s="27">
        <v>12221.74</v>
      </c>
      <c r="I36" s="13">
        <v>1045.13</v>
      </c>
      <c r="J36" s="13">
        <f t="shared" si="4"/>
        <v>3360.7700000000004</v>
      </c>
      <c r="K36" s="13">
        <f t="shared" si="5"/>
        <v>1051.1399999999994</v>
      </c>
      <c r="L36" s="13">
        <f t="shared" si="6"/>
        <v>-22856.66000000001</v>
      </c>
      <c r="M36" s="13">
        <f t="shared" si="7"/>
        <v>-1264.87</v>
      </c>
      <c r="N36" s="35">
        <f t="shared" si="1"/>
        <v>1.379277889440998</v>
      </c>
      <c r="O36" s="35">
        <f t="shared" si="2"/>
        <v>1.0940987950512953</v>
      </c>
      <c r="P36" s="35">
        <f t="shared" si="3"/>
        <v>0.3484121282612661</v>
      </c>
    </row>
    <row r="37" spans="1:16" ht="15.75">
      <c r="A37" s="98"/>
      <c r="B37" s="98"/>
      <c r="C37" s="47" t="s">
        <v>9</v>
      </c>
      <c r="D37" s="27">
        <f aca="true" t="shared" si="13" ref="D37:I37">SUM(D30:D33)</f>
        <v>42602.74</v>
      </c>
      <c r="E37" s="27">
        <f t="shared" si="13"/>
        <v>301398.7</v>
      </c>
      <c r="F37" s="27">
        <f t="shared" si="13"/>
        <v>170835.5</v>
      </c>
      <c r="G37" s="27">
        <f t="shared" si="13"/>
        <v>51182.3</v>
      </c>
      <c r="H37" s="27">
        <f t="shared" si="13"/>
        <v>168849.33</v>
      </c>
      <c r="I37" s="27">
        <f t="shared" si="13"/>
        <v>5886.900000000001</v>
      </c>
      <c r="J37" s="27">
        <f t="shared" si="4"/>
        <v>126246.59</v>
      </c>
      <c r="K37" s="27">
        <f t="shared" si="5"/>
        <v>-1986.1700000000128</v>
      </c>
      <c r="L37" s="27">
        <f t="shared" si="6"/>
        <v>-132549.37000000002</v>
      </c>
      <c r="M37" s="27">
        <f t="shared" si="7"/>
        <v>-45295.4</v>
      </c>
      <c r="N37" s="46">
        <f aca="true" t="shared" si="14" ref="N37:N68">_xlfn.IFERROR(H37/D37,"")</f>
        <v>3.963344376441515</v>
      </c>
      <c r="O37" s="46">
        <f aca="true" t="shared" si="15" ref="O37:O68">_xlfn.IFERROR(H37/F37,"")</f>
        <v>0.9883737864788056</v>
      </c>
      <c r="P37" s="46">
        <f aca="true" t="shared" si="16" ref="P37:P68">_xlfn.IFERROR(H37/E37,"")</f>
        <v>0.5602191714828232</v>
      </c>
    </row>
    <row r="38" spans="1:16" ht="31.5">
      <c r="A38" s="98" t="s">
        <v>77</v>
      </c>
      <c r="B38" s="86" t="s">
        <v>15</v>
      </c>
      <c r="C38" s="9" t="s">
        <v>41</v>
      </c>
      <c r="D38" s="5">
        <v>93343.54</v>
      </c>
      <c r="E38" s="5">
        <v>326627.4</v>
      </c>
      <c r="F38" s="5">
        <v>114800.5</v>
      </c>
      <c r="G38" s="5">
        <v>20200</v>
      </c>
      <c r="H38" s="5">
        <v>95898.65</v>
      </c>
      <c r="I38" s="5">
        <v>1888.24</v>
      </c>
      <c r="J38" s="11">
        <f t="shared" si="4"/>
        <v>2555.1100000000006</v>
      </c>
      <c r="K38" s="11">
        <f t="shared" si="5"/>
        <v>-18901.850000000006</v>
      </c>
      <c r="L38" s="11">
        <f t="shared" si="6"/>
        <v>-230728.75000000003</v>
      </c>
      <c r="M38" s="11">
        <f t="shared" si="7"/>
        <v>-18311.76</v>
      </c>
      <c r="N38" s="35">
        <f t="shared" si="14"/>
        <v>1.0273731851181132</v>
      </c>
      <c r="O38" s="35">
        <f t="shared" si="15"/>
        <v>0.8353504557906978</v>
      </c>
      <c r="P38" s="35">
        <f t="shared" si="16"/>
        <v>0.29360258814784057</v>
      </c>
    </row>
    <row r="39" spans="1:16" ht="31.5">
      <c r="A39" s="98"/>
      <c r="B39" s="86"/>
      <c r="C39" s="9" t="s">
        <v>42</v>
      </c>
      <c r="D39" s="5">
        <v>-8937.95</v>
      </c>
      <c r="E39" s="5">
        <f>245061.4+9204.6</f>
        <v>254266</v>
      </c>
      <c r="F39" s="5">
        <v>56504.6</v>
      </c>
      <c r="G39" s="5">
        <v>12804.6</v>
      </c>
      <c r="H39" s="5">
        <v>60588.96</v>
      </c>
      <c r="I39" s="5">
        <v>19813.35</v>
      </c>
      <c r="J39" s="11">
        <f t="shared" si="4"/>
        <v>69526.91</v>
      </c>
      <c r="K39" s="11">
        <f t="shared" si="5"/>
        <v>4084.3600000000006</v>
      </c>
      <c r="L39" s="11">
        <f t="shared" si="6"/>
        <v>-193677.04</v>
      </c>
      <c r="M39" s="11">
        <f t="shared" si="7"/>
        <v>7008.749999999998</v>
      </c>
      <c r="N39" s="35">
        <f t="shared" si="14"/>
        <v>-6.778843023288338</v>
      </c>
      <c r="O39" s="35">
        <f t="shared" si="15"/>
        <v>1.0722836724797626</v>
      </c>
      <c r="P39" s="35">
        <f t="shared" si="16"/>
        <v>0.2382896651538153</v>
      </c>
    </row>
    <row r="40" spans="1:16" ht="31.5">
      <c r="A40" s="98"/>
      <c r="B40" s="86"/>
      <c r="C40" s="7" t="s">
        <v>43</v>
      </c>
      <c r="D40" s="5">
        <v>15443.86</v>
      </c>
      <c r="E40" s="5">
        <f>48566.2-5534.78</f>
        <v>43031.42</v>
      </c>
      <c r="F40" s="5">
        <v>14340</v>
      </c>
      <c r="G40" s="5">
        <v>3000</v>
      </c>
      <c r="H40" s="5">
        <v>13296.66</v>
      </c>
      <c r="I40" s="5">
        <v>330.46000000000004</v>
      </c>
      <c r="J40" s="5">
        <f t="shared" si="4"/>
        <v>-2147.2000000000007</v>
      </c>
      <c r="K40" s="5">
        <f t="shared" si="5"/>
        <v>-1043.3400000000001</v>
      </c>
      <c r="L40" s="5">
        <f t="shared" si="6"/>
        <v>-29734.76</v>
      </c>
      <c r="M40" s="5">
        <f t="shared" si="7"/>
        <v>-2669.54</v>
      </c>
      <c r="N40" s="35">
        <f t="shared" si="14"/>
        <v>0.8609674006368874</v>
      </c>
      <c r="O40" s="35">
        <f t="shared" si="15"/>
        <v>0.9272426778242677</v>
      </c>
      <c r="P40" s="35">
        <f t="shared" si="16"/>
        <v>0.30899886640970714</v>
      </c>
    </row>
    <row r="41" spans="1:16" s="32" customFormat="1" ht="25.5" customHeight="1">
      <c r="A41" s="98"/>
      <c r="B41" s="86"/>
      <c r="C41" s="9" t="s">
        <v>42</v>
      </c>
      <c r="D41" s="5">
        <v>955.13</v>
      </c>
      <c r="E41" s="5"/>
      <c r="F41" s="5"/>
      <c r="G41" s="5"/>
      <c r="H41" s="5">
        <v>0</v>
      </c>
      <c r="I41" s="5">
        <v>0</v>
      </c>
      <c r="J41" s="5">
        <f t="shared" si="4"/>
        <v>-955.13</v>
      </c>
      <c r="K41" s="5">
        <f t="shared" si="5"/>
        <v>0</v>
      </c>
      <c r="L41" s="5">
        <f t="shared" si="6"/>
        <v>0</v>
      </c>
      <c r="M41" s="5">
        <f t="shared" si="7"/>
        <v>0</v>
      </c>
      <c r="N41" s="35">
        <f t="shared" si="14"/>
        <v>0</v>
      </c>
      <c r="O41" s="35">
        <f t="shared" si="15"/>
      </c>
      <c r="P41" s="35">
        <f t="shared" si="16"/>
      </c>
    </row>
    <row r="42" spans="1:16" ht="31.5">
      <c r="A42" s="98"/>
      <c r="B42" s="86"/>
      <c r="C42" s="7" t="s">
        <v>82</v>
      </c>
      <c r="D42" s="5">
        <v>1413.29</v>
      </c>
      <c r="E42" s="5">
        <v>2948.3</v>
      </c>
      <c r="F42" s="5">
        <v>1412.3</v>
      </c>
      <c r="G42" s="5">
        <v>0</v>
      </c>
      <c r="H42" s="5">
        <v>1759.96</v>
      </c>
      <c r="I42" s="5">
        <v>106.48</v>
      </c>
      <c r="J42" s="5">
        <f t="shared" si="4"/>
        <v>346.6700000000001</v>
      </c>
      <c r="K42" s="5">
        <f t="shared" si="5"/>
        <v>347.6600000000001</v>
      </c>
      <c r="L42" s="5">
        <f t="shared" si="6"/>
        <v>-1188.3400000000001</v>
      </c>
      <c r="M42" s="5">
        <f t="shared" si="7"/>
        <v>106.48</v>
      </c>
      <c r="N42" s="35">
        <f t="shared" si="14"/>
        <v>1.2452928981313107</v>
      </c>
      <c r="O42" s="35">
        <f t="shared" si="15"/>
        <v>1.2461658287899173</v>
      </c>
      <c r="P42" s="35">
        <f t="shared" si="16"/>
        <v>0.5969406098429604</v>
      </c>
    </row>
    <row r="43" spans="1:16" ht="15.75">
      <c r="A43" s="98"/>
      <c r="B43" s="86"/>
      <c r="C43" s="14" t="s">
        <v>86</v>
      </c>
      <c r="D43" s="5">
        <v>56.27</v>
      </c>
      <c r="E43" s="5"/>
      <c r="F43" s="5"/>
      <c r="G43" s="5"/>
      <c r="H43" s="5">
        <v>45.15</v>
      </c>
      <c r="I43" s="5">
        <v>11.27</v>
      </c>
      <c r="J43" s="5">
        <f t="shared" si="4"/>
        <v>-11.120000000000005</v>
      </c>
      <c r="K43" s="5">
        <f t="shared" si="5"/>
        <v>45.15</v>
      </c>
      <c r="L43" s="5">
        <f t="shared" si="6"/>
        <v>45.15</v>
      </c>
      <c r="M43" s="5">
        <f t="shared" si="7"/>
        <v>11.27</v>
      </c>
      <c r="N43" s="35">
        <f t="shared" si="14"/>
        <v>0.8023813755109294</v>
      </c>
      <c r="O43" s="35">
        <f t="shared" si="15"/>
      </c>
      <c r="P43" s="35">
        <f t="shared" si="16"/>
      </c>
    </row>
    <row r="44" spans="1:16" ht="27.75" customHeight="1">
      <c r="A44" s="98"/>
      <c r="B44" s="86"/>
      <c r="C44" s="9" t="s">
        <v>44</v>
      </c>
      <c r="D44" s="5">
        <v>30378.68</v>
      </c>
      <c r="E44" s="3">
        <v>104142</v>
      </c>
      <c r="F44" s="3">
        <v>25240</v>
      </c>
      <c r="G44" s="3">
        <v>9400</v>
      </c>
      <c r="H44" s="5">
        <v>56740.57</v>
      </c>
      <c r="I44" s="5">
        <v>-436.62</v>
      </c>
      <c r="J44" s="3">
        <f t="shared" si="4"/>
        <v>26361.89</v>
      </c>
      <c r="K44" s="3">
        <f t="shared" si="5"/>
        <v>31500.57</v>
      </c>
      <c r="L44" s="3">
        <f t="shared" si="6"/>
        <v>-47401.43</v>
      </c>
      <c r="M44" s="3">
        <f t="shared" si="7"/>
        <v>-9836.62</v>
      </c>
      <c r="N44" s="35">
        <f t="shared" si="14"/>
        <v>1.867776019234542</v>
      </c>
      <c r="O44" s="35">
        <f t="shared" si="15"/>
        <v>2.2480416006339143</v>
      </c>
      <c r="P44" s="35">
        <f t="shared" si="16"/>
        <v>0.5448384897543739</v>
      </c>
    </row>
    <row r="45" spans="1:16" s="32" customFormat="1" ht="18" customHeight="1" hidden="1">
      <c r="A45" s="98"/>
      <c r="B45" s="86"/>
      <c r="C45" s="61" t="s">
        <v>45</v>
      </c>
      <c r="D45" s="5">
        <v>0</v>
      </c>
      <c r="E45" s="3">
        <v>0</v>
      </c>
      <c r="F45" s="3">
        <v>0</v>
      </c>
      <c r="G45" s="3">
        <v>0</v>
      </c>
      <c r="H45" s="5">
        <v>0</v>
      </c>
      <c r="I45" s="5">
        <v>0</v>
      </c>
      <c r="J45" s="3">
        <f t="shared" si="4"/>
        <v>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5">
        <f t="shared" si="14"/>
      </c>
      <c r="O45" s="35">
        <f t="shared" si="15"/>
      </c>
      <c r="P45" s="35">
        <f t="shared" si="16"/>
      </c>
    </row>
    <row r="46" spans="1:16" ht="27.75" customHeight="1">
      <c r="A46" s="98"/>
      <c r="B46" s="86"/>
      <c r="C46" s="9" t="s">
        <v>46</v>
      </c>
      <c r="D46" s="3">
        <v>8886.71</v>
      </c>
      <c r="E46" s="3">
        <v>45272.2</v>
      </c>
      <c r="F46" s="3">
        <v>7800</v>
      </c>
      <c r="G46" s="3">
        <v>2400</v>
      </c>
      <c r="H46" s="3">
        <v>21716.57</v>
      </c>
      <c r="I46" s="3">
        <v>2908.12</v>
      </c>
      <c r="J46" s="3">
        <f t="shared" si="4"/>
        <v>12829.86</v>
      </c>
      <c r="K46" s="3">
        <f t="shared" si="5"/>
        <v>13916.57</v>
      </c>
      <c r="L46" s="3">
        <f t="shared" si="6"/>
        <v>-23555.629999999997</v>
      </c>
      <c r="M46" s="3">
        <f t="shared" si="7"/>
        <v>508.1199999999999</v>
      </c>
      <c r="N46" s="35">
        <f t="shared" si="14"/>
        <v>2.4437131401834877</v>
      </c>
      <c r="O46" s="35">
        <f t="shared" si="15"/>
        <v>2.784175641025641</v>
      </c>
      <c r="P46" s="35">
        <f t="shared" si="16"/>
        <v>0.4796888598300944</v>
      </c>
    </row>
    <row r="47" spans="1:16" ht="15.75">
      <c r="A47" s="98"/>
      <c r="B47" s="98"/>
      <c r="C47" s="47" t="s">
        <v>9</v>
      </c>
      <c r="D47" s="27">
        <f aca="true" t="shared" si="17" ref="D47:I47">SUM(D38:D46)</f>
        <v>141539.53</v>
      </c>
      <c r="E47" s="27">
        <f t="shared" si="17"/>
        <v>776287.3200000001</v>
      </c>
      <c r="F47" s="27">
        <f t="shared" si="17"/>
        <v>220097.4</v>
      </c>
      <c r="G47" s="27">
        <f t="shared" si="17"/>
        <v>47804.6</v>
      </c>
      <c r="H47" s="27">
        <f t="shared" si="17"/>
        <v>250046.52</v>
      </c>
      <c r="I47" s="27">
        <f t="shared" si="17"/>
        <v>24621.3</v>
      </c>
      <c r="J47" s="27">
        <f t="shared" si="4"/>
        <v>108506.98999999999</v>
      </c>
      <c r="K47" s="27">
        <f t="shared" si="5"/>
        <v>29949.119999999995</v>
      </c>
      <c r="L47" s="27">
        <f t="shared" si="6"/>
        <v>-526240.8</v>
      </c>
      <c r="M47" s="27">
        <f t="shared" si="7"/>
        <v>-23183.3</v>
      </c>
      <c r="N47" s="35">
        <f t="shared" si="14"/>
        <v>1.7666196856807423</v>
      </c>
      <c r="O47" s="35">
        <f t="shared" si="15"/>
        <v>1.1360721207974287</v>
      </c>
      <c r="P47" s="35">
        <f t="shared" si="16"/>
        <v>0.32210563480542226</v>
      </c>
    </row>
    <row r="48" spans="1:16" ht="15.75">
      <c r="A48" s="98" t="s">
        <v>47</v>
      </c>
      <c r="B48" s="86" t="s">
        <v>48</v>
      </c>
      <c r="C48" s="7" t="s">
        <v>28</v>
      </c>
      <c r="D48" s="3"/>
      <c r="E48" s="3">
        <v>4487</v>
      </c>
      <c r="F48" s="3">
        <f>G48</f>
        <v>4487</v>
      </c>
      <c r="G48" s="3">
        <v>4487</v>
      </c>
      <c r="H48" s="3">
        <v>2731.14</v>
      </c>
      <c r="I48" s="3">
        <v>0</v>
      </c>
      <c r="J48" s="8">
        <f t="shared" si="4"/>
        <v>2731.14</v>
      </c>
      <c r="K48" s="8">
        <f t="shared" si="5"/>
        <v>-1755.8600000000001</v>
      </c>
      <c r="L48" s="8">
        <f t="shared" si="6"/>
        <v>-1755.8600000000001</v>
      </c>
      <c r="M48" s="8">
        <f t="shared" si="7"/>
        <v>-4487</v>
      </c>
      <c r="N48" s="35">
        <f t="shared" si="14"/>
      </c>
      <c r="O48" s="35">
        <f t="shared" si="15"/>
        <v>0.6086784042790283</v>
      </c>
      <c r="P48" s="35">
        <f t="shared" si="16"/>
        <v>0.6086784042790283</v>
      </c>
    </row>
    <row r="49" spans="1:16" ht="15.75">
      <c r="A49" s="98"/>
      <c r="B49" s="86"/>
      <c r="C49" s="47" t="s">
        <v>9</v>
      </c>
      <c r="D49" s="27">
        <v>0</v>
      </c>
      <c r="E49" s="27">
        <f>SUM(E48:E48)</f>
        <v>4487</v>
      </c>
      <c r="F49" s="27">
        <f>SUM(F48:F48)</f>
        <v>4487</v>
      </c>
      <c r="G49" s="27">
        <f>SUM(G48:G48)</f>
        <v>4487</v>
      </c>
      <c r="H49" s="27">
        <f>SUM(H48:H48)</f>
        <v>2731.14</v>
      </c>
      <c r="I49" s="27">
        <f>SUM(I48:I48)</f>
        <v>0</v>
      </c>
      <c r="J49" s="48">
        <f t="shared" si="4"/>
        <v>2731.14</v>
      </c>
      <c r="K49" s="48">
        <f t="shared" si="5"/>
        <v>-1755.8600000000001</v>
      </c>
      <c r="L49" s="48">
        <f t="shared" si="6"/>
        <v>-1755.8600000000001</v>
      </c>
      <c r="M49" s="48">
        <f t="shared" si="7"/>
        <v>-4487</v>
      </c>
      <c r="N49" s="35">
        <f t="shared" si="14"/>
      </c>
      <c r="O49" s="35">
        <f t="shared" si="15"/>
        <v>0.6086784042790283</v>
      </c>
      <c r="P49" s="35">
        <f t="shared" si="16"/>
        <v>0.6086784042790283</v>
      </c>
    </row>
    <row r="50" spans="1:16" s="32" customFormat="1" ht="15.75" hidden="1">
      <c r="A50" s="91" t="s">
        <v>50</v>
      </c>
      <c r="B50" s="94" t="s">
        <v>79</v>
      </c>
      <c r="C50" s="62" t="s">
        <v>28</v>
      </c>
      <c r="D50" s="3"/>
      <c r="E50" s="3"/>
      <c r="F50" s="3"/>
      <c r="G50" s="3"/>
      <c r="H50" s="3">
        <v>0</v>
      </c>
      <c r="I50" s="3">
        <v>0</v>
      </c>
      <c r="J50" s="8">
        <f t="shared" si="4"/>
        <v>0</v>
      </c>
      <c r="K50" s="8">
        <f t="shared" si="5"/>
        <v>0</v>
      </c>
      <c r="L50" s="8">
        <f t="shared" si="6"/>
        <v>0</v>
      </c>
      <c r="M50" s="8">
        <f t="shared" si="7"/>
        <v>0</v>
      </c>
      <c r="N50" s="35">
        <f t="shared" si="14"/>
      </c>
      <c r="O50" s="35">
        <f t="shared" si="15"/>
      </c>
      <c r="P50" s="35">
        <f t="shared" si="16"/>
      </c>
    </row>
    <row r="51" spans="1:16" ht="15.75">
      <c r="A51" s="91"/>
      <c r="B51" s="94"/>
      <c r="C51" s="15" t="s">
        <v>89</v>
      </c>
      <c r="D51" s="3">
        <v>107682.79</v>
      </c>
      <c r="E51" s="71">
        <f>537127.7+16130.16</f>
        <v>553257.86</v>
      </c>
      <c r="F51" s="71">
        <f>166934.4+16130.16</f>
        <v>183064.56</v>
      </c>
      <c r="G51" s="3">
        <v>44405.8</v>
      </c>
      <c r="H51" s="3">
        <v>155950.81</v>
      </c>
      <c r="I51" s="3">
        <v>11403.78</v>
      </c>
      <c r="J51" s="8">
        <f t="shared" si="4"/>
        <v>48268.020000000004</v>
      </c>
      <c r="K51" s="8">
        <f t="shared" si="5"/>
        <v>-27113.75</v>
      </c>
      <c r="L51" s="8">
        <f t="shared" si="6"/>
        <v>-397307.05</v>
      </c>
      <c r="M51" s="8">
        <f t="shared" si="7"/>
        <v>-33002.020000000004</v>
      </c>
      <c r="N51" s="35">
        <f t="shared" si="14"/>
        <v>1.4482426579029017</v>
      </c>
      <c r="O51" s="35">
        <f t="shared" si="15"/>
        <v>0.8518896830713711</v>
      </c>
      <c r="P51" s="35">
        <f t="shared" si="16"/>
        <v>0.28187726063213997</v>
      </c>
    </row>
    <row r="52" spans="1:16" ht="15.75">
      <c r="A52" s="91"/>
      <c r="B52" s="94"/>
      <c r="C52" s="15" t="s">
        <v>83</v>
      </c>
      <c r="D52" s="3">
        <v>76046.33</v>
      </c>
      <c r="E52" s="75">
        <f>354489-4173.5</f>
        <v>350315.5</v>
      </c>
      <c r="F52" s="75">
        <f>123035.2-4173.5</f>
        <v>118861.7</v>
      </c>
      <c r="G52" s="3">
        <v>30213.6</v>
      </c>
      <c r="H52" s="3">
        <v>91502.34</v>
      </c>
      <c r="I52" s="3">
        <v>6841.26</v>
      </c>
      <c r="J52" s="8">
        <f t="shared" si="4"/>
        <v>15456.009999999995</v>
      </c>
      <c r="K52" s="8">
        <f t="shared" si="5"/>
        <v>-27359.36</v>
      </c>
      <c r="L52" s="8">
        <f t="shared" si="6"/>
        <v>-258813.16</v>
      </c>
      <c r="M52" s="8">
        <f t="shared" si="7"/>
        <v>-23372.339999999997</v>
      </c>
      <c r="N52" s="35">
        <f t="shared" si="14"/>
        <v>1.2032446536210228</v>
      </c>
      <c r="O52" s="35">
        <f t="shared" si="15"/>
        <v>0.7698219022611994</v>
      </c>
      <c r="P52" s="35">
        <f t="shared" si="16"/>
        <v>0.2611998041765209</v>
      </c>
    </row>
    <row r="53" spans="1:16" ht="31.5">
      <c r="A53" s="91"/>
      <c r="B53" s="94"/>
      <c r="C53" s="15" t="s">
        <v>84</v>
      </c>
      <c r="D53" s="3">
        <v>906309.3</v>
      </c>
      <c r="E53" s="72">
        <f>3510723.4+35171.1+96433.35</f>
        <v>3642327.85</v>
      </c>
      <c r="F53" s="72">
        <f>1034102+96433.35</f>
        <v>1130535.35</v>
      </c>
      <c r="G53" s="5">
        <v>287600.5</v>
      </c>
      <c r="H53" s="3">
        <v>981248.28</v>
      </c>
      <c r="I53" s="3">
        <v>83130.62</v>
      </c>
      <c r="J53" s="8">
        <f t="shared" si="4"/>
        <v>74938.97999999998</v>
      </c>
      <c r="K53" s="8">
        <f t="shared" si="5"/>
        <v>-149287.07000000007</v>
      </c>
      <c r="L53" s="8">
        <f t="shared" si="6"/>
        <v>-2661079.5700000003</v>
      </c>
      <c r="M53" s="8">
        <f t="shared" si="7"/>
        <v>-204469.88</v>
      </c>
      <c r="N53" s="35">
        <f t="shared" si="14"/>
        <v>1.082685877768219</v>
      </c>
      <c r="O53" s="35">
        <f t="shared" si="15"/>
        <v>0.8679501087692658</v>
      </c>
      <c r="P53" s="35">
        <f t="shared" si="16"/>
        <v>0.2694014159104321</v>
      </c>
    </row>
    <row r="54" spans="1:16" ht="31.5">
      <c r="A54" s="91"/>
      <c r="B54" s="94"/>
      <c r="C54" s="15" t="s">
        <v>85</v>
      </c>
      <c r="D54" s="3">
        <v>949.35</v>
      </c>
      <c r="E54" s="3"/>
      <c r="F54" s="3">
        <v>0</v>
      </c>
      <c r="G54" s="3"/>
      <c r="H54" s="3">
        <v>399.72</v>
      </c>
      <c r="I54" s="3">
        <v>42.7</v>
      </c>
      <c r="J54" s="8">
        <f t="shared" si="4"/>
        <v>-549.63</v>
      </c>
      <c r="K54" s="8">
        <f t="shared" si="5"/>
        <v>399.72</v>
      </c>
      <c r="L54" s="8">
        <f t="shared" si="6"/>
        <v>399.72</v>
      </c>
      <c r="M54" s="8">
        <f t="shared" si="7"/>
        <v>42.7</v>
      </c>
      <c r="N54" s="35">
        <f t="shared" si="14"/>
        <v>0.4210459788276189</v>
      </c>
      <c r="O54" s="35">
        <f t="shared" si="15"/>
      </c>
      <c r="P54" s="35">
        <f t="shared" si="16"/>
      </c>
    </row>
    <row r="55" spans="1:16" ht="15.75">
      <c r="A55" s="91"/>
      <c r="B55" s="94"/>
      <c r="C55" s="49" t="s">
        <v>9</v>
      </c>
      <c r="D55" s="27">
        <f aca="true" t="shared" si="18" ref="D55:I55">SUM(D50:D54)</f>
        <v>1090987.77</v>
      </c>
      <c r="E55" s="27">
        <f t="shared" si="18"/>
        <v>4545901.21</v>
      </c>
      <c r="F55" s="27">
        <f t="shared" si="18"/>
        <v>1432461.61</v>
      </c>
      <c r="G55" s="27">
        <f t="shared" si="18"/>
        <v>362219.9</v>
      </c>
      <c r="H55" s="27">
        <f t="shared" si="18"/>
        <v>1229101.15</v>
      </c>
      <c r="I55" s="27">
        <f t="shared" si="18"/>
        <v>101418.36</v>
      </c>
      <c r="J55" s="27">
        <f t="shared" si="4"/>
        <v>138113.3799999999</v>
      </c>
      <c r="K55" s="27">
        <f t="shared" si="5"/>
        <v>-203360.4600000002</v>
      </c>
      <c r="L55" s="27">
        <f t="shared" si="6"/>
        <v>-3316800.06</v>
      </c>
      <c r="M55" s="27">
        <f t="shared" si="7"/>
        <v>-260801.54000000004</v>
      </c>
      <c r="N55" s="35">
        <f t="shared" si="14"/>
        <v>1.1265948013331075</v>
      </c>
      <c r="O55" s="35">
        <f t="shared" si="15"/>
        <v>0.8580342687159342</v>
      </c>
      <c r="P55" s="35">
        <f t="shared" si="16"/>
        <v>0.27037568420894037</v>
      </c>
    </row>
    <row r="56" spans="1:16" ht="15.75">
      <c r="A56" s="99">
        <v>991</v>
      </c>
      <c r="B56" s="99" t="s">
        <v>52</v>
      </c>
      <c r="C56" s="9" t="s">
        <v>53</v>
      </c>
      <c r="D56" s="5">
        <v>13806.78</v>
      </c>
      <c r="E56" s="5">
        <v>54298.2</v>
      </c>
      <c r="F56" s="5">
        <v>17000</v>
      </c>
      <c r="G56" s="5">
        <v>4500</v>
      </c>
      <c r="H56" s="5">
        <v>14126.03</v>
      </c>
      <c r="I56" s="5">
        <v>656.54</v>
      </c>
      <c r="J56" s="5">
        <f t="shared" si="4"/>
        <v>319.25</v>
      </c>
      <c r="K56" s="5">
        <f t="shared" si="5"/>
        <v>-2873.9699999999993</v>
      </c>
      <c r="L56" s="5">
        <f t="shared" si="6"/>
        <v>-40172.17</v>
      </c>
      <c r="M56" s="5">
        <f t="shared" si="7"/>
        <v>-3843.46</v>
      </c>
      <c r="N56" s="35">
        <f t="shared" si="14"/>
        <v>1.0231226976891064</v>
      </c>
      <c r="O56" s="35">
        <f t="shared" si="15"/>
        <v>0.8309429411764706</v>
      </c>
      <c r="P56" s="35">
        <f t="shared" si="16"/>
        <v>0.26015650610885815</v>
      </c>
    </row>
    <row r="57" spans="1:16" ht="15.75">
      <c r="A57" s="99"/>
      <c r="B57" s="99"/>
      <c r="C57" s="7" t="s">
        <v>54</v>
      </c>
      <c r="D57" s="5">
        <v>1849</v>
      </c>
      <c r="E57" s="5"/>
      <c r="F57" s="5"/>
      <c r="G57" s="5"/>
      <c r="H57" s="5">
        <v>2263.47</v>
      </c>
      <c r="I57" s="5">
        <v>0</v>
      </c>
      <c r="J57" s="5">
        <f t="shared" si="4"/>
        <v>414.4699999999998</v>
      </c>
      <c r="K57" s="5">
        <f t="shared" si="5"/>
        <v>2263.47</v>
      </c>
      <c r="L57" s="5">
        <f t="shared" si="6"/>
        <v>2263.47</v>
      </c>
      <c r="M57" s="5">
        <f t="shared" si="7"/>
        <v>0</v>
      </c>
      <c r="N57" s="35">
        <f t="shared" si="14"/>
        <v>1.2241590048674957</v>
      </c>
      <c r="O57" s="35">
        <f t="shared" si="15"/>
      </c>
      <c r="P57" s="35">
        <f t="shared" si="16"/>
      </c>
    </row>
    <row r="58" spans="1:16" ht="15.75" hidden="1">
      <c r="A58" s="99"/>
      <c r="B58" s="99"/>
      <c r="C58" s="63" t="s">
        <v>55</v>
      </c>
      <c r="D58" s="5"/>
      <c r="E58" s="3"/>
      <c r="F58" s="3"/>
      <c r="G58" s="3"/>
      <c r="H58" s="5">
        <v>0</v>
      </c>
      <c r="I58" s="5">
        <v>0</v>
      </c>
      <c r="J58" s="3">
        <f t="shared" si="4"/>
        <v>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5">
        <f t="shared" si="14"/>
      </c>
      <c r="O58" s="35">
        <f t="shared" si="15"/>
      </c>
      <c r="P58" s="35">
        <f t="shared" si="16"/>
      </c>
    </row>
    <row r="59" spans="1:16" ht="15.75">
      <c r="A59" s="99"/>
      <c r="B59" s="99"/>
      <c r="C59" s="47" t="s">
        <v>9</v>
      </c>
      <c r="D59" s="27">
        <f aca="true" t="shared" si="19" ref="D59:I59">SUM(D56:D58)</f>
        <v>15655.78</v>
      </c>
      <c r="E59" s="27">
        <f t="shared" si="19"/>
        <v>54298.2</v>
      </c>
      <c r="F59" s="27">
        <f t="shared" si="19"/>
        <v>17000</v>
      </c>
      <c r="G59" s="27">
        <f t="shared" si="19"/>
        <v>4500</v>
      </c>
      <c r="H59" s="27">
        <f t="shared" si="19"/>
        <v>16389.5</v>
      </c>
      <c r="I59" s="27">
        <f t="shared" si="19"/>
        <v>656.54</v>
      </c>
      <c r="J59" s="27">
        <f t="shared" si="4"/>
        <v>733.7199999999993</v>
      </c>
      <c r="K59" s="27">
        <f t="shared" si="5"/>
        <v>-610.5</v>
      </c>
      <c r="L59" s="27">
        <f t="shared" si="6"/>
        <v>-37908.7</v>
      </c>
      <c r="M59" s="27">
        <f t="shared" si="7"/>
        <v>-3843.46</v>
      </c>
      <c r="N59" s="46">
        <f t="shared" si="14"/>
        <v>1.0468657582055956</v>
      </c>
      <c r="O59" s="46">
        <f t="shared" si="15"/>
        <v>0.9640882352941177</v>
      </c>
      <c r="P59" s="46">
        <f t="shared" si="16"/>
        <v>0.3018424183490429</v>
      </c>
    </row>
    <row r="60" spans="1:16" ht="15.75">
      <c r="A60" s="98" t="s">
        <v>56</v>
      </c>
      <c r="B60" s="86" t="s">
        <v>57</v>
      </c>
      <c r="C60" s="7" t="s">
        <v>58</v>
      </c>
      <c r="D60" s="5">
        <v>930.0000000000005</v>
      </c>
      <c r="E60" s="5">
        <v>7767.5</v>
      </c>
      <c r="F60" s="5">
        <v>3608.7</v>
      </c>
      <c r="G60" s="5">
        <v>1738.1</v>
      </c>
      <c r="H60" s="11">
        <v>5266.030000000001</v>
      </c>
      <c r="I60" s="11">
        <v>414.01</v>
      </c>
      <c r="J60" s="5">
        <f t="shared" si="4"/>
        <v>4336.030000000001</v>
      </c>
      <c r="K60" s="5">
        <f t="shared" si="5"/>
        <v>1657.3300000000008</v>
      </c>
      <c r="L60" s="5">
        <f t="shared" si="6"/>
        <v>-2501.4699999999993</v>
      </c>
      <c r="M60" s="5">
        <f t="shared" si="7"/>
        <v>-1324.09</v>
      </c>
      <c r="N60" s="35">
        <f t="shared" si="14"/>
        <v>5.662397849462364</v>
      </c>
      <c r="O60" s="35">
        <f t="shared" si="15"/>
        <v>1.4592595671571482</v>
      </c>
      <c r="P60" s="35">
        <f t="shared" si="16"/>
        <v>0.6779568715803026</v>
      </c>
    </row>
    <row r="61" spans="1:16" ht="15.75">
      <c r="A61" s="98"/>
      <c r="B61" s="86"/>
      <c r="C61" s="47" t="s">
        <v>9</v>
      </c>
      <c r="D61" s="27">
        <f aca="true" t="shared" si="20" ref="D61:J61">D60</f>
        <v>930.0000000000005</v>
      </c>
      <c r="E61" s="27">
        <f t="shared" si="20"/>
        <v>7767.5</v>
      </c>
      <c r="F61" s="27">
        <f t="shared" si="20"/>
        <v>3608.7</v>
      </c>
      <c r="G61" s="27">
        <f t="shared" si="20"/>
        <v>1738.1</v>
      </c>
      <c r="H61" s="27">
        <v>5266.030000000001</v>
      </c>
      <c r="I61" s="27">
        <v>414.01</v>
      </c>
      <c r="J61" s="48">
        <f t="shared" si="20"/>
        <v>4336.030000000001</v>
      </c>
      <c r="K61" s="48">
        <f t="shared" si="5"/>
        <v>1657.3300000000008</v>
      </c>
      <c r="L61" s="48">
        <f t="shared" si="6"/>
        <v>-2501.4699999999993</v>
      </c>
      <c r="M61" s="48">
        <f t="shared" si="7"/>
        <v>-1324.09</v>
      </c>
      <c r="N61" s="46">
        <f t="shared" si="14"/>
        <v>5.662397849462364</v>
      </c>
      <c r="O61" s="46">
        <f t="shared" si="15"/>
        <v>1.4592595671571482</v>
      </c>
      <c r="P61" s="46">
        <f t="shared" si="16"/>
        <v>0.6779568715803026</v>
      </c>
    </row>
    <row r="62" spans="1:16" ht="15.75" hidden="1">
      <c r="A62" s="91" t="s">
        <v>59</v>
      </c>
      <c r="B62" s="94" t="s">
        <v>60</v>
      </c>
      <c r="C62" s="63" t="s">
        <v>55</v>
      </c>
      <c r="D62" s="3"/>
      <c r="E62" s="5"/>
      <c r="F62" s="5"/>
      <c r="G62" s="5"/>
      <c r="H62" s="8">
        <v>0</v>
      </c>
      <c r="I62" s="8">
        <v>0</v>
      </c>
      <c r="J62" s="5">
        <f aca="true" t="shared" si="21" ref="J62:J86">H62-D62</f>
        <v>0</v>
      </c>
      <c r="K62" s="5">
        <f t="shared" si="5"/>
        <v>0</v>
      </c>
      <c r="L62" s="5">
        <f t="shared" si="6"/>
        <v>0</v>
      </c>
      <c r="M62" s="5">
        <f t="shared" si="7"/>
        <v>0</v>
      </c>
      <c r="N62" s="35">
        <f t="shared" si="14"/>
      </c>
      <c r="O62" s="35">
        <f t="shared" si="15"/>
      </c>
      <c r="P62" s="35">
        <f t="shared" si="16"/>
      </c>
    </row>
    <row r="63" spans="1:16" ht="15.75" hidden="1">
      <c r="A63" s="93"/>
      <c r="B63" s="96"/>
      <c r="C63" s="64" t="s">
        <v>9</v>
      </c>
      <c r="D63" s="27">
        <v>0</v>
      </c>
      <c r="E63" s="27">
        <f>E62</f>
        <v>0</v>
      </c>
      <c r="F63" s="27">
        <f>G63</f>
        <v>0</v>
      </c>
      <c r="G63" s="27">
        <f>G62</f>
        <v>0</v>
      </c>
      <c r="H63" s="27">
        <f>H62</f>
        <v>0</v>
      </c>
      <c r="I63" s="27">
        <f>I62</f>
        <v>0</v>
      </c>
      <c r="J63" s="48">
        <f t="shared" si="21"/>
        <v>0</v>
      </c>
      <c r="K63" s="48">
        <f t="shared" si="5"/>
        <v>0</v>
      </c>
      <c r="L63" s="48">
        <f t="shared" si="6"/>
        <v>0</v>
      </c>
      <c r="M63" s="48">
        <f t="shared" si="7"/>
        <v>0</v>
      </c>
      <c r="N63" s="35">
        <f t="shared" si="14"/>
      </c>
      <c r="O63" s="35">
        <f t="shared" si="15"/>
      </c>
      <c r="P63" s="35">
        <f t="shared" si="16"/>
      </c>
    </row>
    <row r="64" spans="1:16" ht="15.75">
      <c r="A64" s="86"/>
      <c r="B64" s="86" t="s">
        <v>61</v>
      </c>
      <c r="C64" s="10" t="s">
        <v>62</v>
      </c>
      <c r="D64" s="5">
        <v>288.61</v>
      </c>
      <c r="E64" s="5">
        <v>41.2</v>
      </c>
      <c r="F64" s="5">
        <v>35.6</v>
      </c>
      <c r="G64" s="5">
        <v>8.9</v>
      </c>
      <c r="H64" s="11">
        <v>72.44</v>
      </c>
      <c r="I64" s="11">
        <v>10.6</v>
      </c>
      <c r="J64" s="5">
        <f t="shared" si="21"/>
        <v>-216.17000000000002</v>
      </c>
      <c r="K64" s="5">
        <f t="shared" si="5"/>
        <v>36.839999999999996</v>
      </c>
      <c r="L64" s="5">
        <f t="shared" si="6"/>
        <v>31.239999999999995</v>
      </c>
      <c r="M64" s="5">
        <f t="shared" si="7"/>
        <v>1.6999999999999993</v>
      </c>
      <c r="N64" s="35">
        <f t="shared" si="14"/>
        <v>0.25099615397941855</v>
      </c>
      <c r="O64" s="35">
        <f t="shared" si="15"/>
        <v>2.034831460674157</v>
      </c>
      <c r="P64" s="35">
        <f t="shared" si="16"/>
        <v>1.758252427184466</v>
      </c>
    </row>
    <row r="65" spans="1:16" ht="15.75">
      <c r="A65" s="86"/>
      <c r="B65" s="86"/>
      <c r="C65" s="7" t="s">
        <v>100</v>
      </c>
      <c r="D65" s="5">
        <v>42.99</v>
      </c>
      <c r="E65" s="5">
        <v>47.1</v>
      </c>
      <c r="F65" s="5">
        <v>47.1</v>
      </c>
      <c r="G65" s="5">
        <v>0</v>
      </c>
      <c r="H65" s="11">
        <v>7.77000000000001</v>
      </c>
      <c r="I65" s="11">
        <v>0</v>
      </c>
      <c r="J65" s="5">
        <f t="shared" si="21"/>
        <v>-35.21999999999999</v>
      </c>
      <c r="K65" s="5">
        <f t="shared" si="5"/>
        <v>-39.32999999999999</v>
      </c>
      <c r="L65" s="5">
        <f t="shared" si="6"/>
        <v>-39.32999999999999</v>
      </c>
      <c r="M65" s="5">
        <f t="shared" si="7"/>
        <v>0</v>
      </c>
      <c r="N65" s="35">
        <f t="shared" si="14"/>
        <v>0.18073970690858362</v>
      </c>
      <c r="O65" s="35">
        <f t="shared" si="15"/>
        <v>0.16496815286624225</v>
      </c>
      <c r="P65" s="35">
        <f t="shared" si="16"/>
        <v>0.16496815286624225</v>
      </c>
    </row>
    <row r="66" spans="1:16" ht="15.75">
      <c r="A66" s="86"/>
      <c r="B66" s="86"/>
      <c r="C66" s="7" t="s">
        <v>28</v>
      </c>
      <c r="D66" s="5"/>
      <c r="E66" s="5">
        <v>6100</v>
      </c>
      <c r="F66" s="5">
        <f>G66</f>
        <v>6100</v>
      </c>
      <c r="G66" s="5">
        <v>6100</v>
      </c>
      <c r="H66" s="11">
        <v>0</v>
      </c>
      <c r="I66" s="11">
        <v>0</v>
      </c>
      <c r="J66" s="5">
        <f t="shared" si="21"/>
        <v>0</v>
      </c>
      <c r="K66" s="5">
        <f t="shared" si="5"/>
        <v>-6100</v>
      </c>
      <c r="L66" s="5">
        <f t="shared" si="6"/>
        <v>-6100</v>
      </c>
      <c r="M66" s="5">
        <f t="shared" si="7"/>
        <v>-6100</v>
      </c>
      <c r="N66" s="35">
        <f t="shared" si="14"/>
      </c>
      <c r="O66" s="35">
        <f t="shared" si="15"/>
        <v>0</v>
      </c>
      <c r="P66" s="35">
        <f t="shared" si="16"/>
        <v>0</v>
      </c>
    </row>
    <row r="67" spans="1:16" ht="31.5">
      <c r="A67" s="86"/>
      <c r="B67" s="86"/>
      <c r="C67" s="7" t="s">
        <v>49</v>
      </c>
      <c r="D67" s="5">
        <v>4677.129999999865</v>
      </c>
      <c r="E67" s="3">
        <v>680.5</v>
      </c>
      <c r="F67" s="3">
        <v>210</v>
      </c>
      <c r="G67" s="3">
        <v>60</v>
      </c>
      <c r="H67" s="5">
        <v>13277.92</v>
      </c>
      <c r="I67" s="5">
        <v>309.1700000000087</v>
      </c>
      <c r="J67" s="3">
        <f t="shared" si="21"/>
        <v>8600.790000000135</v>
      </c>
      <c r="K67" s="3">
        <f t="shared" si="5"/>
        <v>13067.92</v>
      </c>
      <c r="L67" s="3">
        <f t="shared" si="6"/>
        <v>12597.42</v>
      </c>
      <c r="M67" s="3">
        <f t="shared" si="7"/>
        <v>249.1700000000087</v>
      </c>
      <c r="N67" s="35">
        <f t="shared" si="14"/>
        <v>2.838903344572502</v>
      </c>
      <c r="O67" s="35">
        <f t="shared" si="15"/>
        <v>63.22819047619048</v>
      </c>
      <c r="P67" s="35">
        <f t="shared" si="16"/>
        <v>19.51200587803086</v>
      </c>
    </row>
    <row r="68" spans="1:16" ht="15.75">
      <c r="A68" s="86"/>
      <c r="B68" s="86"/>
      <c r="C68" s="7" t="s">
        <v>51</v>
      </c>
      <c r="D68" s="3">
        <v>24226.74000000001</v>
      </c>
      <c r="E68" s="3">
        <f>86939.9+8662.9</f>
        <v>95602.79999999999</v>
      </c>
      <c r="F68" s="3">
        <v>26075.2</v>
      </c>
      <c r="G68" s="3">
        <v>6682.9</v>
      </c>
      <c r="H68" s="75">
        <v>26260.68</v>
      </c>
      <c r="I68" s="75">
        <v>2950.6300000000006</v>
      </c>
      <c r="J68" s="3">
        <f t="shared" si="21"/>
        <v>2033.9399999999914</v>
      </c>
      <c r="K68" s="3">
        <f t="shared" si="5"/>
        <v>185.47999999999956</v>
      </c>
      <c r="L68" s="3">
        <f t="shared" si="6"/>
        <v>-69342.12</v>
      </c>
      <c r="M68" s="3">
        <f t="shared" si="7"/>
        <v>-3732.269999999999</v>
      </c>
      <c r="N68" s="35">
        <f t="shared" si="14"/>
        <v>1.083954341360001</v>
      </c>
      <c r="O68" s="35">
        <f t="shared" si="15"/>
        <v>1.0071132723814198</v>
      </c>
      <c r="P68" s="35">
        <f t="shared" si="16"/>
        <v>0.27468526026434376</v>
      </c>
    </row>
    <row r="69" spans="1:16" ht="15.75">
      <c r="A69" s="86"/>
      <c r="B69" s="86"/>
      <c r="C69" s="7" t="s">
        <v>63</v>
      </c>
      <c r="D69" s="3">
        <v>76.00999999999999</v>
      </c>
      <c r="E69" s="3"/>
      <c r="F69" s="3"/>
      <c r="G69" s="3"/>
      <c r="H69" s="75">
        <v>-6.7700000000000005</v>
      </c>
      <c r="I69" s="75">
        <v>5649.910000000001</v>
      </c>
      <c r="J69" s="3">
        <f t="shared" si="21"/>
        <v>-82.77999999999999</v>
      </c>
      <c r="K69" s="3">
        <f t="shared" si="5"/>
        <v>-6.7700000000000005</v>
      </c>
      <c r="L69" s="3">
        <f t="shared" si="6"/>
        <v>-6.7700000000000005</v>
      </c>
      <c r="M69" s="3">
        <f t="shared" si="7"/>
        <v>5649.910000000001</v>
      </c>
      <c r="N69" s="35">
        <f aca="true" t="shared" si="22" ref="N69:N85">_xlfn.IFERROR(H69/D69,"")</f>
        <v>-0.08906722799631629</v>
      </c>
      <c r="O69" s="35">
        <f aca="true" t="shared" si="23" ref="O69:O86">_xlfn.IFERROR(H69/F69,"")</f>
      </c>
      <c r="P69" s="35">
        <f aca="true" t="shared" si="24" ref="P69:P86">_xlfn.IFERROR(H69/E69,"")</f>
      </c>
    </row>
    <row r="70" spans="1:16" ht="15.75">
      <c r="A70" s="86"/>
      <c r="B70" s="86"/>
      <c r="C70" s="7" t="s">
        <v>40</v>
      </c>
      <c r="D70" s="3">
        <f>7121.24+45.38</f>
        <v>7166.62</v>
      </c>
      <c r="E70" s="3">
        <v>16333.1</v>
      </c>
      <c r="F70" s="3">
        <v>1950</v>
      </c>
      <c r="G70" s="3">
        <v>950</v>
      </c>
      <c r="H70" s="75">
        <v>22590.56</v>
      </c>
      <c r="I70" s="75">
        <v>3388.38</v>
      </c>
      <c r="J70" s="3">
        <f t="shared" si="21"/>
        <v>15423.940000000002</v>
      </c>
      <c r="K70" s="3">
        <f aca="true" t="shared" si="25" ref="K70:K86">H70-F70</f>
        <v>20640.56</v>
      </c>
      <c r="L70" s="3">
        <f aca="true" t="shared" si="26" ref="L70:L86">H70-E70</f>
        <v>6257.460000000001</v>
      </c>
      <c r="M70" s="3">
        <f aca="true" t="shared" si="27" ref="M70:M85">I70-G70</f>
        <v>2438.38</v>
      </c>
      <c r="N70" s="35">
        <f t="shared" si="22"/>
        <v>3.152191688690066</v>
      </c>
      <c r="O70" s="35">
        <f t="shared" si="23"/>
        <v>11.584902564102565</v>
      </c>
      <c r="P70" s="35">
        <f t="shared" si="24"/>
        <v>1.3831152689936388</v>
      </c>
    </row>
    <row r="71" spans="1:16" ht="15.75">
      <c r="A71" s="86"/>
      <c r="B71" s="86"/>
      <c r="C71" s="7" t="s">
        <v>102</v>
      </c>
      <c r="D71" s="3">
        <v>1782.71</v>
      </c>
      <c r="E71" s="3">
        <v>0</v>
      </c>
      <c r="F71" s="3">
        <f>G71</f>
        <v>0</v>
      </c>
      <c r="G71" s="3">
        <v>0</v>
      </c>
      <c r="H71" s="75">
        <v>430.93</v>
      </c>
      <c r="I71" s="75">
        <v>57.35</v>
      </c>
      <c r="J71" s="3">
        <f t="shared" si="21"/>
        <v>-1351.78</v>
      </c>
      <c r="K71" s="3">
        <f t="shared" si="25"/>
        <v>430.93</v>
      </c>
      <c r="L71" s="3">
        <f t="shared" si="26"/>
        <v>430.93</v>
      </c>
      <c r="M71" s="3">
        <f t="shared" si="27"/>
        <v>57.35</v>
      </c>
      <c r="N71" s="35">
        <f t="shared" si="22"/>
        <v>0.24172748231624885</v>
      </c>
      <c r="O71" s="35">
        <f t="shared" si="23"/>
      </c>
      <c r="P71" s="35">
        <f t="shared" si="24"/>
      </c>
    </row>
    <row r="72" spans="1:16" ht="15.75">
      <c r="A72" s="86"/>
      <c r="B72" s="86"/>
      <c r="C72" s="47" t="s">
        <v>64</v>
      </c>
      <c r="D72" s="27">
        <f aca="true" t="shared" si="28" ref="D72:I72">SUM(D64:D71)</f>
        <v>38260.809999999874</v>
      </c>
      <c r="E72" s="27">
        <f t="shared" si="28"/>
        <v>118804.7</v>
      </c>
      <c r="F72" s="27">
        <f t="shared" si="28"/>
        <v>34417.9</v>
      </c>
      <c r="G72" s="27">
        <f t="shared" si="28"/>
        <v>13801.8</v>
      </c>
      <c r="H72" s="27">
        <f t="shared" si="28"/>
        <v>62633.530000000006</v>
      </c>
      <c r="I72" s="27">
        <f t="shared" si="28"/>
        <v>12366.04000000001</v>
      </c>
      <c r="J72" s="48">
        <f t="shared" si="21"/>
        <v>24372.720000000132</v>
      </c>
      <c r="K72" s="48">
        <f t="shared" si="25"/>
        <v>28215.630000000005</v>
      </c>
      <c r="L72" s="48">
        <f t="shared" si="26"/>
        <v>-56171.16999999999</v>
      </c>
      <c r="M72" s="48">
        <f t="shared" si="27"/>
        <v>-1435.7599999999893</v>
      </c>
      <c r="N72" s="46">
        <f t="shared" si="22"/>
        <v>1.637015264444224</v>
      </c>
      <c r="O72" s="46">
        <f t="shared" si="23"/>
        <v>1.8197952228346297</v>
      </c>
      <c r="P72" s="46">
        <f t="shared" si="24"/>
        <v>0.5271974088567204</v>
      </c>
    </row>
    <row r="73" spans="1:19" ht="25.5" customHeight="1">
      <c r="A73" s="109" t="s">
        <v>65</v>
      </c>
      <c r="B73" s="109"/>
      <c r="C73" s="109"/>
      <c r="D73" s="51">
        <f aca="true" t="shared" si="29" ref="D73:I73">D5+D22</f>
        <v>5306748.100000001</v>
      </c>
      <c r="E73" s="80">
        <f t="shared" si="29"/>
        <v>26226995.930000003</v>
      </c>
      <c r="F73" s="51">
        <f t="shared" si="29"/>
        <v>5461196.109999999</v>
      </c>
      <c r="G73" s="51">
        <f t="shared" si="29"/>
        <v>351257.40000000014</v>
      </c>
      <c r="H73" s="51">
        <f t="shared" si="29"/>
        <v>4475748.6</v>
      </c>
      <c r="I73" s="51">
        <f t="shared" si="29"/>
        <v>163799.57</v>
      </c>
      <c r="J73" s="37">
        <f t="shared" si="21"/>
        <v>-830999.5000000009</v>
      </c>
      <c r="K73" s="37">
        <f t="shared" si="25"/>
        <v>-985447.5099999998</v>
      </c>
      <c r="L73" s="37">
        <f t="shared" si="26"/>
        <v>-21751247.330000006</v>
      </c>
      <c r="M73" s="37">
        <f t="shared" si="27"/>
        <v>-187457.83000000013</v>
      </c>
      <c r="N73" s="52">
        <f t="shared" si="22"/>
        <v>0.8434070198282069</v>
      </c>
      <c r="O73" s="52">
        <f t="shared" si="23"/>
        <v>0.8195546378209078</v>
      </c>
      <c r="P73" s="52">
        <f t="shared" si="24"/>
        <v>0.17065426066888473</v>
      </c>
      <c r="R73" s="54"/>
      <c r="S73" s="60"/>
    </row>
    <row r="74" spans="1:16" ht="15.75" hidden="1">
      <c r="A74" s="110" t="s">
        <v>81</v>
      </c>
      <c r="B74" s="111"/>
      <c r="C74" s="112"/>
      <c r="D74" s="51">
        <v>3770698.64</v>
      </c>
      <c r="E74" s="51">
        <f>E73-E53-E51-E52</f>
        <v>21681094.720000003</v>
      </c>
      <c r="F74" s="51">
        <f>G74</f>
        <v>-10962.499999999862</v>
      </c>
      <c r="G74" s="51">
        <f>G73-G53-G51-G52</f>
        <v>-10962.499999999862</v>
      </c>
      <c r="H74" s="51">
        <f>H73-H53-H51-H52</f>
        <v>3247047.1699999995</v>
      </c>
      <c r="I74" s="51">
        <f>I73-I53-I51-I52</f>
        <v>62423.91000000001</v>
      </c>
      <c r="J74" s="51">
        <f t="shared" si="21"/>
        <v>-523651.47000000067</v>
      </c>
      <c r="K74" s="51">
        <f t="shared" si="25"/>
        <v>3258009.6699999995</v>
      </c>
      <c r="L74" s="51">
        <f t="shared" si="26"/>
        <v>-18434047.550000004</v>
      </c>
      <c r="M74" s="51">
        <f t="shared" si="27"/>
        <v>73386.40999999987</v>
      </c>
      <c r="N74" s="52">
        <f t="shared" si="22"/>
        <v>0.8611261413349117</v>
      </c>
      <c r="O74" s="52">
        <f t="shared" si="23"/>
        <v>-296.19586499430244</v>
      </c>
      <c r="P74" s="52">
        <f t="shared" si="24"/>
        <v>0.14976398617938416</v>
      </c>
    </row>
    <row r="75" spans="1:16" ht="33" customHeight="1">
      <c r="A75" s="113"/>
      <c r="B75" s="90"/>
      <c r="C75" s="40" t="s">
        <v>66</v>
      </c>
      <c r="D75" s="33">
        <f aca="true" t="shared" si="30" ref="D75:I75">SUM(D76:D84)</f>
        <v>4972081.599999999</v>
      </c>
      <c r="E75" s="38">
        <f t="shared" si="30"/>
        <v>24219620.78</v>
      </c>
      <c r="F75" s="38">
        <f t="shared" si="30"/>
        <v>5164655.56</v>
      </c>
      <c r="G75" s="38">
        <f t="shared" si="30"/>
        <v>1213028.2600000002</v>
      </c>
      <c r="H75" s="38">
        <f t="shared" si="30"/>
        <v>4877476.739999999</v>
      </c>
      <c r="I75" s="38">
        <f t="shared" si="30"/>
        <v>1046931.34</v>
      </c>
      <c r="J75" s="41">
        <f t="shared" si="21"/>
        <v>-94604.8599999994</v>
      </c>
      <c r="K75" s="41">
        <f t="shared" si="25"/>
        <v>-287178.8200000003</v>
      </c>
      <c r="L75" s="41">
        <f t="shared" si="26"/>
        <v>-19342144.040000003</v>
      </c>
      <c r="M75" s="41">
        <f t="shared" si="27"/>
        <v>-166096.92000000027</v>
      </c>
      <c r="N75" s="42">
        <f t="shared" si="22"/>
        <v>0.9809727861264386</v>
      </c>
      <c r="O75" s="42">
        <f t="shared" si="23"/>
        <v>0.9443953586713147</v>
      </c>
      <c r="P75" s="42">
        <f t="shared" si="24"/>
        <v>0.2013853472069103</v>
      </c>
    </row>
    <row r="76" spans="1:16" ht="31.5">
      <c r="A76" s="113"/>
      <c r="B76" s="90"/>
      <c r="C76" s="16" t="s">
        <v>67</v>
      </c>
      <c r="D76" s="3">
        <v>539943.4</v>
      </c>
      <c r="E76" s="16">
        <v>384548</v>
      </c>
      <c r="F76" s="3">
        <f>288577.9</f>
        <v>288577.9</v>
      </c>
      <c r="G76" s="3">
        <v>0</v>
      </c>
      <c r="H76" s="82">
        <v>288577.9</v>
      </c>
      <c r="I76" s="82">
        <v>0</v>
      </c>
      <c r="J76" s="3">
        <f aca="true" t="shared" si="31" ref="J76:J82">H76-D76</f>
        <v>-251365.5</v>
      </c>
      <c r="K76" s="3">
        <f aca="true" t="shared" si="32" ref="K76:K82">H76-F76</f>
        <v>0</v>
      </c>
      <c r="L76" s="3">
        <f>H76-E76</f>
        <v>-95970.09999999998</v>
      </c>
      <c r="M76" s="3">
        <f>I76-G76</f>
        <v>0</v>
      </c>
      <c r="N76" s="36">
        <f t="shared" si="22"/>
        <v>0.5344595377959986</v>
      </c>
      <c r="O76" s="36">
        <f t="shared" si="23"/>
        <v>1</v>
      </c>
      <c r="P76" s="36">
        <f t="shared" si="24"/>
        <v>0.7504340160396102</v>
      </c>
    </row>
    <row r="77" spans="1:16" ht="31.5">
      <c r="A77" s="113"/>
      <c r="B77" s="90"/>
      <c r="C77" s="17" t="s">
        <v>68</v>
      </c>
      <c r="D77" s="3">
        <v>411231.62000000005</v>
      </c>
      <c r="E77" s="70">
        <v>6534340.88</v>
      </c>
      <c r="F77" s="3">
        <v>321414.86</v>
      </c>
      <c r="G77" s="3">
        <v>14678.6</v>
      </c>
      <c r="H77" s="82">
        <v>313414.87</v>
      </c>
      <c r="I77" s="82">
        <v>6678.6</v>
      </c>
      <c r="J77" s="3">
        <f t="shared" si="31"/>
        <v>-97816.75000000006</v>
      </c>
      <c r="K77" s="3">
        <f t="shared" si="32"/>
        <v>-7999.989999999991</v>
      </c>
      <c r="L77" s="3">
        <f>H77-E77</f>
        <v>-6220926.01</v>
      </c>
      <c r="M77" s="3">
        <f>I77-G77</f>
        <v>-8000</v>
      </c>
      <c r="N77" s="36">
        <f t="shared" si="22"/>
        <v>0.7621370895555161</v>
      </c>
      <c r="O77" s="36">
        <f t="shared" si="23"/>
        <v>0.9751100804735662</v>
      </c>
      <c r="P77" s="36">
        <f t="shared" si="24"/>
        <v>0.047964266902463776</v>
      </c>
    </row>
    <row r="78" spans="1:16" ht="31.5">
      <c r="A78" s="113"/>
      <c r="B78" s="90"/>
      <c r="C78" s="17" t="s">
        <v>69</v>
      </c>
      <c r="D78" s="3">
        <v>3315370.9499999993</v>
      </c>
      <c r="E78" s="70">
        <v>11845941.55</v>
      </c>
      <c r="F78" s="3">
        <v>3175263.3</v>
      </c>
      <c r="G78" s="3">
        <v>1048284.81</v>
      </c>
      <c r="H78" s="82">
        <v>3166529.1799999997</v>
      </c>
      <c r="I78" s="82">
        <v>1039550.7999999999</v>
      </c>
      <c r="J78" s="3">
        <f t="shared" si="31"/>
        <v>-148841.76999999955</v>
      </c>
      <c r="K78" s="3">
        <f t="shared" si="32"/>
        <v>-8734.120000000112</v>
      </c>
      <c r="L78" s="3">
        <f t="shared" si="26"/>
        <v>-8679412.370000001</v>
      </c>
      <c r="M78" s="3">
        <f>I78-G78</f>
        <v>-8734.010000000126</v>
      </c>
      <c r="N78" s="36">
        <f t="shared" si="22"/>
        <v>0.9551055455800506</v>
      </c>
      <c r="O78" s="36">
        <f t="shared" si="23"/>
        <v>0.9972493241741559</v>
      </c>
      <c r="P78" s="36">
        <f t="shared" si="24"/>
        <v>0.26730920177467865</v>
      </c>
    </row>
    <row r="79" spans="1:16" ht="15.75">
      <c r="A79" s="113"/>
      <c r="B79" s="90"/>
      <c r="C79" s="9" t="s">
        <v>70</v>
      </c>
      <c r="D79" s="3">
        <v>719439.15</v>
      </c>
      <c r="E79" s="70">
        <v>5446783.48</v>
      </c>
      <c r="F79" s="3">
        <v>1371392.63</v>
      </c>
      <c r="G79" s="3">
        <v>150064.85</v>
      </c>
      <c r="H79" s="75">
        <v>1222005.05</v>
      </c>
      <c r="I79" s="75">
        <v>677.27</v>
      </c>
      <c r="J79" s="3">
        <f t="shared" si="31"/>
        <v>502565.9</v>
      </c>
      <c r="K79" s="3">
        <f t="shared" si="32"/>
        <v>-149387.57999999984</v>
      </c>
      <c r="L79" s="3">
        <f t="shared" si="26"/>
        <v>-4224778.430000001</v>
      </c>
      <c r="M79" s="3">
        <f t="shared" si="27"/>
        <v>-149387.58000000002</v>
      </c>
      <c r="N79" s="36">
        <f t="shared" si="22"/>
        <v>1.6985523376090945</v>
      </c>
      <c r="O79" s="36">
        <f t="shared" si="23"/>
        <v>0.8910687014556875</v>
      </c>
      <c r="P79" s="36">
        <f t="shared" si="24"/>
        <v>0.22435352065803063</v>
      </c>
    </row>
    <row r="80" spans="1:16" ht="47.25">
      <c r="A80" s="113"/>
      <c r="B80" s="90"/>
      <c r="C80" s="9" t="s">
        <v>87</v>
      </c>
      <c r="D80" s="3">
        <v>4.06</v>
      </c>
      <c r="E80" s="71"/>
      <c r="F80" s="3">
        <f>G80</f>
        <v>0</v>
      </c>
      <c r="G80" s="3"/>
      <c r="H80" s="75">
        <v>387.89</v>
      </c>
      <c r="I80" s="75">
        <v>0</v>
      </c>
      <c r="J80" s="3">
        <f t="shared" si="31"/>
        <v>383.83</v>
      </c>
      <c r="K80" s="3">
        <f t="shared" si="32"/>
        <v>387.89</v>
      </c>
      <c r="L80" s="3">
        <f t="shared" si="26"/>
        <v>387.89</v>
      </c>
      <c r="M80" s="3">
        <f t="shared" si="27"/>
        <v>0</v>
      </c>
      <c r="N80" s="36">
        <f>_xlfn.IFERROR(H80/D80,"")</f>
        <v>95.53940886699507</v>
      </c>
      <c r="O80" s="36">
        <f t="shared" si="23"/>
      </c>
      <c r="P80" s="36">
        <f t="shared" si="24"/>
      </c>
    </row>
    <row r="81" spans="1:16" ht="31.5">
      <c r="A81" s="113"/>
      <c r="B81" s="90"/>
      <c r="C81" s="30" t="s">
        <v>71</v>
      </c>
      <c r="D81" s="3">
        <v>0</v>
      </c>
      <c r="E81" s="71"/>
      <c r="F81" s="3"/>
      <c r="G81" s="3"/>
      <c r="H81" s="75">
        <v>0</v>
      </c>
      <c r="I81" s="75">
        <v>0</v>
      </c>
      <c r="J81" s="3">
        <f t="shared" si="31"/>
        <v>0</v>
      </c>
      <c r="K81" s="3">
        <f t="shared" si="32"/>
        <v>0</v>
      </c>
      <c r="L81" s="3">
        <f>H81-E81</f>
        <v>0</v>
      </c>
      <c r="M81" s="3">
        <f t="shared" si="27"/>
        <v>0</v>
      </c>
      <c r="N81" s="36">
        <f t="shared" si="22"/>
      </c>
      <c r="O81" s="36">
        <f t="shared" si="23"/>
      </c>
      <c r="P81" s="36">
        <f t="shared" si="24"/>
      </c>
    </row>
    <row r="82" spans="1:16" s="32" customFormat="1" ht="110.25" hidden="1">
      <c r="A82" s="113"/>
      <c r="B82" s="90"/>
      <c r="C82" s="65" t="s">
        <v>90</v>
      </c>
      <c r="D82" s="3"/>
      <c r="E82" s="3"/>
      <c r="F82" s="3"/>
      <c r="G82" s="3"/>
      <c r="H82" s="3">
        <v>0</v>
      </c>
      <c r="I82" s="3">
        <v>0</v>
      </c>
      <c r="J82" s="3">
        <f t="shared" si="31"/>
        <v>0</v>
      </c>
      <c r="K82" s="3">
        <f t="shared" si="32"/>
        <v>0</v>
      </c>
      <c r="L82" s="3">
        <f>H82-E82</f>
        <v>0</v>
      </c>
      <c r="M82" s="3">
        <f t="shared" si="27"/>
        <v>0</v>
      </c>
      <c r="N82" s="36">
        <f t="shared" si="22"/>
      </c>
      <c r="O82" s="36">
        <f t="shared" si="23"/>
      </c>
      <c r="P82" s="36">
        <f t="shared" si="24"/>
      </c>
    </row>
    <row r="83" spans="1:16" ht="47.25">
      <c r="A83" s="113"/>
      <c r="B83" s="90"/>
      <c r="C83" s="7" t="s">
        <v>72</v>
      </c>
      <c r="D83" s="3">
        <v>322904.97000000003</v>
      </c>
      <c r="E83" s="72">
        <v>8006.87</v>
      </c>
      <c r="F83" s="5">
        <v>8006.87</v>
      </c>
      <c r="G83" s="5">
        <v>0</v>
      </c>
      <c r="H83" s="75">
        <v>159777.43000000002</v>
      </c>
      <c r="I83" s="75">
        <v>24.67</v>
      </c>
      <c r="J83" s="3">
        <f t="shared" si="21"/>
        <v>-163127.54</v>
      </c>
      <c r="K83" s="3">
        <f t="shared" si="25"/>
        <v>151770.56000000003</v>
      </c>
      <c r="L83" s="3">
        <f t="shared" si="26"/>
        <v>151770.56000000003</v>
      </c>
      <c r="M83" s="3">
        <f t="shared" si="27"/>
        <v>24.67</v>
      </c>
      <c r="N83" s="36">
        <f t="shared" si="22"/>
        <v>0.49481254500356564</v>
      </c>
      <c r="O83" s="36">
        <f t="shared" si="23"/>
        <v>19.955042357375607</v>
      </c>
      <c r="P83" s="36">
        <f t="shared" si="24"/>
        <v>19.955042357375607</v>
      </c>
    </row>
    <row r="84" spans="1:16" ht="15.75">
      <c r="A84" s="113"/>
      <c r="B84" s="90"/>
      <c r="C84" s="7" t="s">
        <v>73</v>
      </c>
      <c r="D84" s="3">
        <v>-336812.54999999993</v>
      </c>
      <c r="E84" s="71"/>
      <c r="F84" s="3"/>
      <c r="G84" s="3"/>
      <c r="H84" s="75">
        <v>-273215.58</v>
      </c>
      <c r="I84" s="75">
        <v>0</v>
      </c>
      <c r="J84" s="3">
        <f t="shared" si="21"/>
        <v>63596.969999999914</v>
      </c>
      <c r="K84" s="3">
        <f t="shared" si="25"/>
        <v>-273215.58</v>
      </c>
      <c r="L84" s="3">
        <f t="shared" si="26"/>
        <v>-273215.58</v>
      </c>
      <c r="M84" s="3">
        <f t="shared" si="27"/>
        <v>0</v>
      </c>
      <c r="N84" s="36">
        <f t="shared" si="22"/>
        <v>0.8111799278263238</v>
      </c>
      <c r="O84" s="36">
        <f t="shared" si="23"/>
      </c>
      <c r="P84" s="36">
        <f t="shared" si="24"/>
      </c>
    </row>
    <row r="85" spans="1:16" ht="29.25" customHeight="1">
      <c r="A85" s="107" t="s">
        <v>74</v>
      </c>
      <c r="B85" s="107"/>
      <c r="C85" s="107"/>
      <c r="D85" s="66">
        <f aca="true" t="shared" si="33" ref="D85:J85">D73+D75</f>
        <v>10278829.7</v>
      </c>
      <c r="E85" s="73">
        <f t="shared" si="33"/>
        <v>50446616.71000001</v>
      </c>
      <c r="F85" s="51">
        <f t="shared" si="33"/>
        <v>10625851.669999998</v>
      </c>
      <c r="G85" s="51">
        <f t="shared" si="33"/>
        <v>1564285.6600000004</v>
      </c>
      <c r="H85" s="51">
        <f t="shared" si="33"/>
        <v>9353225.34</v>
      </c>
      <c r="I85" s="51">
        <f t="shared" si="33"/>
        <v>1210730.91</v>
      </c>
      <c r="J85" s="51">
        <f t="shared" si="33"/>
        <v>-925604.3600000003</v>
      </c>
      <c r="K85" s="37">
        <f t="shared" si="25"/>
        <v>-1272626.3299999982</v>
      </c>
      <c r="L85" s="37">
        <f t="shared" si="26"/>
        <v>-41093391.370000005</v>
      </c>
      <c r="M85" s="37">
        <f t="shared" si="27"/>
        <v>-353554.75000000047</v>
      </c>
      <c r="N85" s="52">
        <f t="shared" si="22"/>
        <v>0.9099504139075288</v>
      </c>
      <c r="O85" s="52">
        <f t="shared" si="23"/>
        <v>0.8802330044194944</v>
      </c>
      <c r="P85" s="52">
        <f t="shared" si="24"/>
        <v>0.18540837721126924</v>
      </c>
    </row>
    <row r="86" spans="1:16" ht="15.75" hidden="1">
      <c r="A86" s="108" t="s">
        <v>81</v>
      </c>
      <c r="B86" s="108"/>
      <c r="C86" s="108"/>
      <c r="D86" s="37">
        <v>6683833.650000001</v>
      </c>
      <c r="E86" s="37">
        <f>E85-E53-E52-E51</f>
        <v>45900715.50000001</v>
      </c>
      <c r="F86" s="37">
        <f>G86</f>
        <v>1202065.7600000002</v>
      </c>
      <c r="G86" s="37">
        <f>G85-G53-G52-G51</f>
        <v>1202065.7600000002</v>
      </c>
      <c r="H86" s="37">
        <v>7008743.46</v>
      </c>
      <c r="I86" s="37">
        <v>4118598.0600000015</v>
      </c>
      <c r="J86" s="37">
        <f t="shared" si="21"/>
        <v>324909.80999999866</v>
      </c>
      <c r="K86" s="37">
        <f t="shared" si="25"/>
        <v>5806677.699999999</v>
      </c>
      <c r="L86" s="37">
        <f t="shared" si="26"/>
        <v>-38891972.04000001</v>
      </c>
      <c r="M86" s="37">
        <f>H86-G86</f>
        <v>5806677.699999999</v>
      </c>
      <c r="N86" s="52">
        <f>H86/D86</f>
        <v>1.048611295106065</v>
      </c>
      <c r="O86" s="52">
        <f t="shared" si="23"/>
        <v>5.8305823967567285</v>
      </c>
      <c r="P86" s="36">
        <f t="shared" si="24"/>
        <v>0.15269355572463786</v>
      </c>
    </row>
    <row r="87" spans="1:16" ht="15.75">
      <c r="A87" s="18" t="s">
        <v>75</v>
      </c>
      <c r="B87" s="19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2"/>
      <c r="O87" s="23"/>
      <c r="P87" s="22"/>
    </row>
    <row r="88" ht="12.75">
      <c r="D88" s="53"/>
    </row>
  </sheetData>
  <sheetProtection/>
  <autoFilter ref="A4:P88"/>
  <mergeCells count="39">
    <mergeCell ref="A85:C85"/>
    <mergeCell ref="A86:C86"/>
    <mergeCell ref="A64:A72"/>
    <mergeCell ref="B64:B72"/>
    <mergeCell ref="A73:C73"/>
    <mergeCell ref="A74:C74"/>
    <mergeCell ref="A75:A84"/>
    <mergeCell ref="B75:B84"/>
    <mergeCell ref="O3:O4"/>
    <mergeCell ref="P3:P4"/>
    <mergeCell ref="B62:B63"/>
    <mergeCell ref="A62:A63"/>
    <mergeCell ref="A56:A59"/>
    <mergeCell ref="B56:B59"/>
    <mergeCell ref="A1:P1"/>
    <mergeCell ref="A3:A4"/>
    <mergeCell ref="B3:B4"/>
    <mergeCell ref="C3:C4"/>
    <mergeCell ref="D3:D4"/>
    <mergeCell ref="E3:G3"/>
    <mergeCell ref="A60:A61"/>
    <mergeCell ref="B60:B61"/>
    <mergeCell ref="A30:A37"/>
    <mergeCell ref="B30:B37"/>
    <mergeCell ref="A38:A47"/>
    <mergeCell ref="B38:B47"/>
    <mergeCell ref="A48:A49"/>
    <mergeCell ref="B48:B49"/>
    <mergeCell ref="A50:A55"/>
    <mergeCell ref="B50:B55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.15748031496062992" right="0.15748031496062992" top="0.5118110236220472" bottom="0.1968503937007874" header="0.31496062992125984" footer="0.31496062992125984"/>
  <pageSetup fitToHeight="1" fitToWidth="1" horizontalDpi="600" verticalDpi="600" orientation="portrait" paperSize="9" scale="41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2023-04-07T12:11:20Z</cp:lastPrinted>
  <dcterms:created xsi:type="dcterms:W3CDTF">2015-02-26T11:08:47Z</dcterms:created>
  <dcterms:modified xsi:type="dcterms:W3CDTF">2023-04-14T09:38:08Z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