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30" activeTab="0"/>
  </bookViews>
  <sheets>
    <sheet name="17.04.2023" sheetId="1" r:id="rId1"/>
  </sheets>
  <definedNames>
    <definedName name="_xlfn.IFERROR" hidden="1">#NAME?</definedName>
    <definedName name="_xlnm._FilterDatabase" localSheetId="0" hidden="1">'17.04.2023'!$A$4:$P$88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'17.04.2023'!$3:$4</definedName>
    <definedName name="о">#REF!</definedName>
    <definedName name="_xlnm.Print_Area" localSheetId="0">'17.04.2023'!$A$1:$P$87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<sst xmlns="http://schemas.openxmlformats.org/spreadsheetml/2006/main" count="141" uniqueCount="111">
  <si>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</si>
  <si>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</si>
  <si>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</si>
  <si>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</si>
  <si>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</si>
  <si>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</si>
  <si>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</si>
  <si>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</si>
  <si>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</si>
  <si>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</si>
  <si>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</si>
  <si>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</si>
  <si>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</si>
  <si>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</si>
  <si>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</si>
  <si>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</si>
  <si>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</si>
  <si>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</si>
  <si>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</si>
  <si>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</si>
  <si>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</si>
  <si>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</si>
  <si>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</si>
  <si>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</si>
  <si>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</si>
  <si>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</si>
  <si>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</si>
  <si>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</si>
  <si>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</si>
  <si>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</si>
  <si>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</si>
  <si>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</si>
  <si>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</si>
  <si>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</si>
  <si>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</si>
  <si>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</si>
  <si>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</si>
  <si>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</si>
  <si>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</si>
  <si>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</si>
  <si>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</si>
  <si>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</si>
  <si>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</si>
  <si>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</si>
  <si>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</si>
  <si>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находящихся в собственности городских округов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</si>
  <si>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</si>
  <si>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</si>
  <si>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</si>
  <si>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</si>
  <si>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</si>
  <si>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</si>
  <si>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</si>
  <si>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</si>
  <si>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</si>
  <si>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</si>
  <si>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</si>
  <si>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</si>
  <si>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</si>
  <si>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</si>
  <si>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</si>
  <si>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</si>
  <si>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</si>
  <si>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</si>
  <si>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</si>
  <si>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</si>
  <si>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</si>
  <si>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</si>
  <si>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</si>
  <si>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</si>
  <si>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</si>
  <si>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</si>
  <si>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</si>
  <si>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</si>
  <si>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</si>
  <si>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</si>
  <si>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</si>
  <si>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</si>
  <si>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</si>
  <si>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</si>
  <si>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</si>
  <si>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</si>
  <si>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</si>
  <si>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</si>
  <si>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</si>
  <si>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</si>
  <si>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</si>
  <si>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</si>
  <si>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</si>
  <si>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</si>
  <si>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</si>
  <si>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</si>
  <si>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</si>
  <si>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</si>
  <si>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</si>
  <si>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</si>
  <si>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</si>
  <si>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</si>
  <si>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</si>
  <si>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</si>
  <si>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</si>
  <si>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</si>
  <si>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</si>
  <si>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</si>
  <si>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</si>
  <si>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</si>
  <si>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январь-апрель</t>
  </si>
  <si>
    <t>апрель</t>
  </si>
  <si>
    <t>факта за апрель от плана апреля</t>
  </si>
  <si>
    <t>Факт с нач. 2022 года      (по 14.04.22 вкл.)</t>
  </si>
  <si>
    <t>с нач. года на 17.04.2023 (по 14.04.2023 вкл.)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</si>
</sst>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0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7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44" fillId="0" borderId="11" xfId="0" applyFont="1" applyFill="1" applyBorder="1" applyAlignment="1">
      <alignment horizontal="left" wrapText="1"/>
    </xf>
    <xf numFmtId="166" fontId="44" fillId="0" borderId="11" xfId="0" applyNumberFormat="1" applyFont="1" applyFill="1" applyBorder="1" applyAlignment="1">
      <alignment wrapText="1"/>
    </xf>
    <xf numFmtId="166" fontId="44" fillId="0" borderId="11" xfId="0" applyNumberFormat="1" applyFont="1" applyFill="1" applyBorder="1" applyAlignment="1">
      <alignment wrapText="1"/>
    </xf>
    <xf numFmtId="166" fontId="45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wrapText="1"/>
    </xf>
    <xf numFmtId="166" fontId="46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46" fillId="0" borderId="14" xfId="0" applyNumberFormat="1" applyFont="1" applyFill="1" applyBorder="1" applyAlignment="1">
      <alignment horizontal="left" vertical="center" wrapText="1"/>
    </xf>
    <xf numFmtId="166" fontId="46" fillId="0" borderId="15" xfId="0" applyNumberFormat="1" applyFont="1" applyFill="1" applyBorder="1" applyAlignment="1">
      <alignment horizontal="left" vertical="center" wrapText="1"/>
    </xf>
    <xf numFmtId="166" fontId="46" fillId="0" borderId="16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9" fontId="4" fillId="0" borderId="11" xfId="14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13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72" xfId="128"/>
    <cellStyle name="Обычный 73" xfId="129"/>
    <cellStyle name="Обычный 73 2" xfId="130"/>
    <cellStyle name="Обычный 74" xfId="131"/>
    <cellStyle name="Обычный 75" xfId="132"/>
    <cellStyle name="Обычный 76" xfId="133"/>
    <cellStyle name="Обычный 8" xfId="134"/>
    <cellStyle name="Обычный 9" xfId="135"/>
    <cellStyle name="Плохой" xfId="136"/>
    <cellStyle name="Пояснение" xfId="137"/>
    <cellStyle name="Примечание" xfId="138"/>
    <cellStyle name="Percent" xfId="139"/>
    <cellStyle name="Процентный 2" xfId="140"/>
    <cellStyle name="Процентный 2 2" xfId="141"/>
    <cellStyle name="Связанная ячейка" xfId="142"/>
    <cellStyle name="Текст предупреждения" xfId="143"/>
    <cellStyle name="Comma" xfId="144"/>
    <cellStyle name="Comma [0]" xfId="145"/>
    <cellStyle name="Финансовый 2" xfId="146"/>
    <cellStyle name="Финансовый 3" xfId="147"/>
    <cellStyle name="Хороший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="89" zoomScaleNormal="89" zoomScalePageLayoutView="0" workbookViewId="0" topLeftCell="A1">
      <pane xSplit="3" ySplit="4" topLeftCell="D7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60" sqref="Q60"/>
    </sheetView>
  </sheetViews>
  <sheetFormatPr defaultColWidth="9.00390625" defaultRowHeight="12.75"/>
  <cols>
    <col min="1" max="2" width="9.125" style="67" customWidth="1"/>
    <col min="3" max="3" width="55.25390625" style="67" customWidth="1"/>
    <col min="4" max="4" width="14.625" style="25" customWidth="1"/>
    <col min="5" max="5" width="15.625" style="67" customWidth="1"/>
    <col min="6" max="7" width="13.00390625" style="67" customWidth="1"/>
    <col min="8" max="8" width="16.25390625" style="67" customWidth="1"/>
    <col min="9" max="9" width="13.875" style="67" customWidth="1"/>
    <col min="10" max="10" width="15.125" style="67" customWidth="1"/>
    <col min="11" max="11" width="14.375" style="67" customWidth="1"/>
    <col min="12" max="12" width="15.625" style="67" customWidth="1"/>
    <col min="13" max="13" width="13.75390625" style="67" customWidth="1"/>
    <col min="14" max="14" width="10.875" style="67" customWidth="1"/>
    <col min="15" max="15" width="10.125" style="67" customWidth="1"/>
    <col min="16" max="16" width="9.25390625" style="67" customWidth="1"/>
    <col min="17" max="17" width="9.125" style="67" customWidth="1"/>
    <col min="18" max="18" width="16.625" style="67" customWidth="1"/>
    <col min="19" max="19" width="9.125" style="67" customWidth="1"/>
    <col min="20" max="20" width="15.75390625" style="67" customWidth="1"/>
    <col min="21" max="16384" width="9.125" style="67" customWidth="1"/>
  </cols>
  <sheetData>
    <row r="1" spans="1:16" ht="20.25">
      <c r="A1" s="131" t="s">
        <v>92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20.25" customHeight="1">
      <c r="A2" s="31"/>
      <c r="B2" s="32"/>
      <c r="C2" s="29"/>
      <c r="D2" s="28"/>
      <c r="E2" s="29"/>
      <c r="F2" s="29"/>
      <c r="G2" s="34"/>
      <c r="H2" s="34"/>
      <c r="I2" s="34"/>
      <c r="J2" s="29"/>
      <c r="K2" s="29"/>
      <c r="L2" s="29"/>
      <c r="M2" s="29"/>
      <c r="N2" s="29"/>
      <c r="O2" s="27"/>
      <c r="P2" s="27" t="s">
        <v>0</v>
      </c>
    </row>
    <row r="3" spans="1:16" ht="20.25" customHeight="1">
      <c r="A3" s="132" t="s">
        <v>1</v>
      </c>
      <c r="B3" s="128" t="s">
        <v>2</v>
      </c>
      <c r="C3" s="133" t="s">
        <v>3</v>
      </c>
      <c r="D3" s="135" t="s">
        <v>109</v>
      </c>
      <c r="E3" s="137" t="s">
        <v>91</v>
      </c>
      <c r="F3" s="138"/>
      <c r="G3" s="139"/>
      <c r="H3" s="137" t="s">
        <v>93</v>
      </c>
      <c r="I3" s="139"/>
      <c r="J3" s="137" t="s">
        <v>4</v>
      </c>
      <c r="K3" s="138"/>
      <c r="L3" s="138"/>
      <c r="M3" s="139"/>
      <c r="N3" s="141" t="s">
        <v>105</v>
      </c>
      <c r="O3" s="140" t="s">
        <v>103</v>
      </c>
      <c r="P3" s="141" t="s">
        <v>104</v>
      </c>
    </row>
    <row r="4" spans="1:16" ht="63">
      <c r="A4" s="132"/>
      <c r="B4" s="128"/>
      <c r="C4" s="134"/>
      <c r="D4" s="136"/>
      <c r="E4" s="1" t="s">
        <v>88</v>
      </c>
      <c r="F4" s="1" t="s">
        <v>106</v>
      </c>
      <c r="G4" s="1" t="s">
        <v>107</v>
      </c>
      <c r="H4" s="51" t="s">
        <v>110</v>
      </c>
      <c r="I4" s="1" t="s">
        <v>107</v>
      </c>
      <c r="J4" s="1" t="s">
        <v>94</v>
      </c>
      <c r="K4" s="1" t="s">
        <v>5</v>
      </c>
      <c r="L4" s="1" t="s">
        <v>95</v>
      </c>
      <c r="M4" s="1" t="s">
        <v>108</v>
      </c>
      <c r="N4" s="141"/>
      <c r="O4" s="140"/>
      <c r="P4" s="141"/>
    </row>
    <row r="5" spans="1:18" ht="29.25" customHeight="1">
      <c r="A5" s="92"/>
      <c r="B5" s="93"/>
      <c r="C5" s="94" t="s">
        <v>6</v>
      </c>
      <c r="D5" s="110">
        <f>D17+D19+D21+D18+D20</f>
        <v>4192304.6500000004</v>
      </c>
      <c r="E5" s="107">
        <f>E17+E19+E21+E18+E20</f>
        <v>20002935.000000004</v>
      </c>
      <c r="F5" s="107">
        <f>F17+F19+F21+F18+F20</f>
        <v>3442305.9</v>
      </c>
      <c r="G5" s="107">
        <f>G17+G19+G21+G18+G20</f>
        <v>-194713.09999999998</v>
      </c>
      <c r="H5" s="107">
        <f>H17+H19+H21+H18+H20</f>
        <v>2643776.5200000005</v>
      </c>
      <c r="I5" s="107">
        <f>I17+I19+I21+I18+I20</f>
        <v>10549.340000000002</v>
      </c>
      <c r="J5" s="95">
        <f>H5-D5</f>
        <v>-1548528.13</v>
      </c>
      <c r="K5" s="95">
        <f>H5-F5</f>
        <v>-798529.3799999994</v>
      </c>
      <c r="L5" s="95">
        <f>H5-E5</f>
        <v>-17359158.480000004</v>
      </c>
      <c r="M5" s="95">
        <f>I5-G5</f>
        <v>205262.43999999997</v>
      </c>
      <c r="N5" s="53">
        <f aca="true" t="shared" si="0" ref="N5:N36">_xlfn.IFERROR(H5/D5,"")</f>
        <v>0.6306260495644085</v>
      </c>
      <c r="O5" s="53">
        <f aca="true" t="shared" si="1" ref="O5:O36">_xlfn.IFERROR(H5/F5,"")</f>
        <v>0.7680248637984208</v>
      </c>
      <c r="P5" s="53">
        <f aca="true" t="shared" si="2" ref="P5:P36">_xlfn.IFERROR(H5/E5,"")</f>
        <v>0.13216943013612753</v>
      </c>
      <c r="R5" s="79"/>
    </row>
    <row r="6" spans="1:21" ht="15.75">
      <c r="A6" s="157" t="s">
        <v>10</v>
      </c>
      <c r="B6" s="75" t="s">
        <v>11</v>
      </c>
      <c r="C6" s="4" t="s">
        <v>12</v>
      </c>
      <c r="D6" s="36">
        <v>3133304.7700000005</v>
      </c>
      <c r="E6" s="5">
        <f>14235121.9+613644.6</f>
        <v>14848766.5</v>
      </c>
      <c r="F6" s="5">
        <v>2444701.2</v>
      </c>
      <c r="G6" s="5">
        <v>-351911.1</v>
      </c>
      <c r="H6" s="100">
        <f>1998718.53+393.3</f>
        <v>1999111.83</v>
      </c>
      <c r="I6" s="100">
        <f>2331.94+393.3</f>
        <v>2725.2400000000002</v>
      </c>
      <c r="J6" s="5">
        <f aca="true" t="shared" si="3" ref="J6:J60">H6-D6</f>
        <v>-1134192.9400000004</v>
      </c>
      <c r="K6" s="5">
        <f aca="true" t="shared" si="4" ref="K6:K69">H6-F6</f>
        <v>-445589.3700000001</v>
      </c>
      <c r="L6" s="5">
        <f aca="true" t="shared" si="5" ref="L6:L69">H6-E6</f>
        <v>-12849654.67</v>
      </c>
      <c r="M6" s="5">
        <f>I6-G6</f>
        <v>354636.33999999997</v>
      </c>
      <c r="N6" s="44">
        <f t="shared" si="0"/>
        <v>0.638020229995054</v>
      </c>
      <c r="O6" s="44">
        <f t="shared" si="1"/>
        <v>0.8177325842520141</v>
      </c>
      <c r="P6" s="44">
        <f t="shared" si="2"/>
        <v>0.13463150828050263</v>
      </c>
      <c r="U6" s="79"/>
    </row>
    <row r="7" spans="1:21" ht="15.75">
      <c r="A7" s="153"/>
      <c r="B7" s="75" t="s">
        <v>7</v>
      </c>
      <c r="C7" s="2" t="s">
        <v>8</v>
      </c>
      <c r="D7" s="35">
        <v>16787.379999999997</v>
      </c>
      <c r="E7" s="3">
        <v>80057.5</v>
      </c>
      <c r="F7" s="3">
        <v>22570</v>
      </c>
      <c r="G7" s="3">
        <v>4720</v>
      </c>
      <c r="H7" s="101">
        <v>18429.57</v>
      </c>
      <c r="I7" s="101">
        <v>0</v>
      </c>
      <c r="J7" s="3">
        <f>H7-D7</f>
        <v>1642.1900000000023</v>
      </c>
      <c r="K7" s="3">
        <f>H7-F7</f>
        <v>-4140.43</v>
      </c>
      <c r="L7" s="3">
        <f>H7-E7</f>
        <v>-61627.93</v>
      </c>
      <c r="M7" s="3">
        <f>I7-G7</f>
        <v>-4720</v>
      </c>
      <c r="N7" s="44">
        <f t="shared" si="0"/>
        <v>1.0978228883840124</v>
      </c>
      <c r="O7" s="44">
        <f t="shared" si="1"/>
        <v>0.8165516171909615</v>
      </c>
      <c r="P7" s="44">
        <f t="shared" si="2"/>
        <v>0.23020416575586297</v>
      </c>
      <c r="U7" s="79"/>
    </row>
    <row r="8" spans="1:21" ht="15.75">
      <c r="A8" s="153"/>
      <c r="B8" s="75" t="s">
        <v>11</v>
      </c>
      <c r="C8" s="37" t="s">
        <v>96</v>
      </c>
      <c r="D8" s="36"/>
      <c r="E8" s="36">
        <v>1204375.9</v>
      </c>
      <c r="F8" s="36">
        <v>218966.3</v>
      </c>
      <c r="G8" s="36">
        <v>0</v>
      </c>
      <c r="H8" s="100">
        <v>159669.84000000003</v>
      </c>
      <c r="I8" s="100">
        <v>0</v>
      </c>
      <c r="J8" s="5">
        <f>H8-D8</f>
        <v>159669.84000000003</v>
      </c>
      <c r="K8" s="5">
        <f>H8-F8</f>
        <v>-59296.45999999996</v>
      </c>
      <c r="L8" s="5">
        <f>H8-E8</f>
        <v>-1044706.0599999998</v>
      </c>
      <c r="M8" s="5">
        <f aca="true" t="shared" si="6" ref="M8:M69">I8-G8</f>
        <v>0</v>
      </c>
      <c r="N8" s="44">
        <f t="shared" si="0"/>
      </c>
      <c r="O8" s="44">
        <f t="shared" si="1"/>
        <v>0.7291982373543328</v>
      </c>
      <c r="P8" s="44">
        <f t="shared" si="2"/>
        <v>0.1325747551076039</v>
      </c>
      <c r="U8" s="79"/>
    </row>
    <row r="9" spans="1:21" ht="15.75">
      <c r="A9" s="153"/>
      <c r="B9" s="75" t="s">
        <v>11</v>
      </c>
      <c r="C9" s="4" t="s">
        <v>13</v>
      </c>
      <c r="D9" s="36">
        <v>1356.5299999999997</v>
      </c>
      <c r="E9" s="5"/>
      <c r="F9" s="5"/>
      <c r="G9" s="5"/>
      <c r="H9" s="101">
        <v>-3643.4100000000003</v>
      </c>
      <c r="I9" s="101">
        <v>0</v>
      </c>
      <c r="J9" s="5">
        <f t="shared" si="3"/>
        <v>-4999.9400000000005</v>
      </c>
      <c r="K9" s="5">
        <f>H9-F9</f>
        <v>-3643.4100000000003</v>
      </c>
      <c r="L9" s="5">
        <f t="shared" si="5"/>
        <v>-3643.4100000000003</v>
      </c>
      <c r="M9" s="5">
        <f t="shared" si="6"/>
        <v>0</v>
      </c>
      <c r="N9" s="44">
        <f t="shared" si="0"/>
        <v>-2.685830759363966</v>
      </c>
      <c r="O9" s="44">
        <f t="shared" si="1"/>
      </c>
      <c r="P9" s="44">
        <f t="shared" si="2"/>
      </c>
      <c r="U9" s="79"/>
    </row>
    <row r="10" spans="1:21" ht="15.75">
      <c r="A10" s="153"/>
      <c r="B10" s="75" t="s">
        <v>11</v>
      </c>
      <c r="C10" s="4" t="s">
        <v>14</v>
      </c>
      <c r="D10" s="36">
        <v>2130.3100000000004</v>
      </c>
      <c r="E10" s="5">
        <v>4690.3</v>
      </c>
      <c r="F10" s="5">
        <v>2720.4</v>
      </c>
      <c r="G10" s="5">
        <v>0</v>
      </c>
      <c r="H10" s="102">
        <v>45.63</v>
      </c>
      <c r="I10" s="102">
        <v>0</v>
      </c>
      <c r="J10" s="5">
        <f t="shared" si="3"/>
        <v>-2084.6800000000003</v>
      </c>
      <c r="K10" s="5">
        <f t="shared" si="4"/>
        <v>-2674.77</v>
      </c>
      <c r="L10" s="5">
        <f t="shared" si="5"/>
        <v>-4644.67</v>
      </c>
      <c r="M10" s="5">
        <f t="shared" si="6"/>
        <v>0</v>
      </c>
      <c r="N10" s="44">
        <f t="shared" si="0"/>
        <v>0.02141941783120766</v>
      </c>
      <c r="O10" s="44">
        <f t="shared" si="1"/>
        <v>0.01677326863696515</v>
      </c>
      <c r="P10" s="44">
        <f t="shared" si="2"/>
        <v>0.009728588789629662</v>
      </c>
      <c r="U10" s="79"/>
    </row>
    <row r="11" spans="1:21" ht="31.5">
      <c r="A11" s="153"/>
      <c r="B11" s="75" t="s">
        <v>11</v>
      </c>
      <c r="C11" s="4" t="s">
        <v>98</v>
      </c>
      <c r="D11" s="36">
        <v>92056.39999999998</v>
      </c>
      <c r="E11" s="5">
        <v>314766.5</v>
      </c>
      <c r="F11" s="5">
        <v>118216</v>
      </c>
      <c r="G11" s="5">
        <v>116393</v>
      </c>
      <c r="H11" s="102">
        <v>-38115.770000000004</v>
      </c>
      <c r="I11" s="102">
        <v>0</v>
      </c>
      <c r="J11" s="5">
        <f t="shared" si="3"/>
        <v>-130172.16999999998</v>
      </c>
      <c r="K11" s="5">
        <f t="shared" si="4"/>
        <v>-156331.77000000002</v>
      </c>
      <c r="L11" s="5">
        <f t="shared" si="5"/>
        <v>-352882.27</v>
      </c>
      <c r="M11" s="5">
        <f t="shared" si="6"/>
        <v>-116393</v>
      </c>
      <c r="N11" s="44">
        <f t="shared" si="0"/>
        <v>-0.41404801838872707</v>
      </c>
      <c r="O11" s="44">
        <f t="shared" si="1"/>
        <v>-0.32242479867361445</v>
      </c>
      <c r="P11" s="44">
        <f t="shared" si="2"/>
        <v>-0.12109220644509502</v>
      </c>
      <c r="U11" s="79"/>
    </row>
    <row r="12" spans="1:21" ht="15.75">
      <c r="A12" s="153"/>
      <c r="B12" s="75" t="s">
        <v>15</v>
      </c>
      <c r="C12" s="4" t="s">
        <v>16</v>
      </c>
      <c r="D12" s="36">
        <v>51365.54</v>
      </c>
      <c r="E12" s="5">
        <v>1083466.2</v>
      </c>
      <c r="F12" s="5">
        <v>54200</v>
      </c>
      <c r="G12" s="5">
        <v>8900</v>
      </c>
      <c r="H12" s="102">
        <v>16499.66</v>
      </c>
      <c r="I12" s="102">
        <v>0</v>
      </c>
      <c r="J12" s="5">
        <f t="shared" si="3"/>
        <v>-34865.880000000005</v>
      </c>
      <c r="K12" s="5">
        <f t="shared" si="4"/>
        <v>-37700.34</v>
      </c>
      <c r="L12" s="5">
        <f t="shared" si="5"/>
        <v>-1066966.54</v>
      </c>
      <c r="M12" s="5">
        <f t="shared" si="6"/>
        <v>-8900</v>
      </c>
      <c r="N12" s="44">
        <f t="shared" si="0"/>
        <v>0.3212204135301605</v>
      </c>
      <c r="O12" s="44">
        <f t="shared" si="1"/>
        <v>0.3044217712177122</v>
      </c>
      <c r="P12" s="44">
        <f t="shared" si="2"/>
        <v>0.015228587656910757</v>
      </c>
      <c r="U12" s="79"/>
    </row>
    <row r="13" spans="1:21" ht="15.75">
      <c r="A13" s="153"/>
      <c r="B13" s="75" t="s">
        <v>79</v>
      </c>
      <c r="C13" s="4" t="s">
        <v>101</v>
      </c>
      <c r="D13" s="36">
        <v>202614.38999999998</v>
      </c>
      <c r="E13" s="5"/>
      <c r="F13" s="5"/>
      <c r="G13" s="5"/>
      <c r="H13" s="102">
        <v>0</v>
      </c>
      <c r="I13" s="102">
        <v>0</v>
      </c>
      <c r="J13" s="5">
        <f t="shared" si="3"/>
        <v>-202614.38999999998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44">
        <f t="shared" si="0"/>
        <v>0</v>
      </c>
      <c r="O13" s="44">
        <f t="shared" si="1"/>
      </c>
      <c r="P13" s="44">
        <f t="shared" si="2"/>
      </c>
      <c r="U13" s="79"/>
    </row>
    <row r="14" spans="1:21" ht="15.75">
      <c r="A14" s="153"/>
      <c r="B14" s="75" t="s">
        <v>15</v>
      </c>
      <c r="C14" s="4" t="s">
        <v>17</v>
      </c>
      <c r="D14" s="36">
        <v>632717.4099999999</v>
      </c>
      <c r="E14" s="5">
        <v>2237196.9</v>
      </c>
      <c r="F14" s="5">
        <v>509100</v>
      </c>
      <c r="G14" s="5">
        <v>9200</v>
      </c>
      <c r="H14" s="102">
        <v>441071.14</v>
      </c>
      <c r="I14" s="102">
        <v>0</v>
      </c>
      <c r="J14" s="5">
        <f t="shared" si="3"/>
        <v>-191646.2699999999</v>
      </c>
      <c r="K14" s="5">
        <f t="shared" si="4"/>
        <v>-68028.85999999999</v>
      </c>
      <c r="L14" s="5">
        <f t="shared" si="5"/>
        <v>-1796125.7599999998</v>
      </c>
      <c r="M14" s="5">
        <f t="shared" si="6"/>
        <v>-9200</v>
      </c>
      <c r="N14" s="44">
        <f t="shared" si="0"/>
        <v>0.6971060587695858</v>
      </c>
      <c r="O14" s="44">
        <f t="shared" si="1"/>
        <v>0.8663742683166372</v>
      </c>
      <c r="P14" s="44">
        <f t="shared" si="2"/>
        <v>0.19715347361691768</v>
      </c>
      <c r="U14" s="79"/>
    </row>
    <row r="15" spans="1:21" ht="15.75">
      <c r="A15" s="153"/>
      <c r="B15" s="75" t="s">
        <v>18</v>
      </c>
      <c r="C15" s="4" t="s">
        <v>19</v>
      </c>
      <c r="D15" s="36">
        <v>59590.060000000005</v>
      </c>
      <c r="E15" s="5">
        <v>228385.6</v>
      </c>
      <c r="F15" s="5">
        <v>71455</v>
      </c>
      <c r="G15" s="5">
        <v>17875</v>
      </c>
      <c r="H15" s="103">
        <f>49714.07+915.26</f>
        <v>50629.33</v>
      </c>
      <c r="I15" s="103">
        <f>6921.64+915.26</f>
        <v>7836.900000000001</v>
      </c>
      <c r="J15" s="5">
        <f t="shared" si="3"/>
        <v>-8960.730000000003</v>
      </c>
      <c r="K15" s="5">
        <f t="shared" si="4"/>
        <v>-20825.67</v>
      </c>
      <c r="L15" s="5">
        <f t="shared" si="5"/>
        <v>-177756.27000000002</v>
      </c>
      <c r="M15" s="5">
        <f t="shared" si="6"/>
        <v>-10038.099999999999</v>
      </c>
      <c r="N15" s="44">
        <f t="shared" si="0"/>
        <v>0.849627102238192</v>
      </c>
      <c r="O15" s="44">
        <f t="shared" si="1"/>
        <v>0.7085484570708838</v>
      </c>
      <c r="P15" s="44">
        <f t="shared" si="2"/>
        <v>0.22168354747409644</v>
      </c>
      <c r="U15" s="79"/>
    </row>
    <row r="16" spans="1:21" ht="15.75">
      <c r="A16" s="153"/>
      <c r="B16" s="75" t="s">
        <v>15</v>
      </c>
      <c r="C16" s="4" t="s">
        <v>20</v>
      </c>
      <c r="D16" s="36">
        <v>18.060000000000002</v>
      </c>
      <c r="E16" s="5"/>
      <c r="F16" s="5"/>
      <c r="G16" s="5"/>
      <c r="H16" s="104">
        <v>-0.1</v>
      </c>
      <c r="I16" s="104">
        <v>0</v>
      </c>
      <c r="J16" s="5">
        <f t="shared" si="3"/>
        <v>-18.160000000000004</v>
      </c>
      <c r="K16" s="5">
        <f t="shared" si="4"/>
        <v>-0.1</v>
      </c>
      <c r="L16" s="5">
        <f t="shared" si="5"/>
        <v>-0.1</v>
      </c>
      <c r="M16" s="5">
        <f t="shared" si="6"/>
        <v>0</v>
      </c>
      <c r="N16" s="44">
        <f t="shared" si="0"/>
        <v>-0.005537098560354374</v>
      </c>
      <c r="O16" s="44">
        <f t="shared" si="1"/>
      </c>
      <c r="P16" s="44">
        <f t="shared" si="2"/>
      </c>
      <c r="U16" s="79"/>
    </row>
    <row r="17" spans="1:21" ht="15.75">
      <c r="A17" s="154"/>
      <c r="B17" s="57"/>
      <c r="C17" s="58" t="s">
        <v>9</v>
      </c>
      <c r="D17" s="30">
        <f>SUM(D6:D16)</f>
        <v>4191940.8500000006</v>
      </c>
      <c r="E17" s="30">
        <f>SUM(E6:E16)</f>
        <v>20001705.400000002</v>
      </c>
      <c r="F17" s="30">
        <f>SUM(F6:F16)</f>
        <v>3441928.9</v>
      </c>
      <c r="G17" s="30">
        <f>SUM(G6:G16)</f>
        <v>-194823.09999999998</v>
      </c>
      <c r="H17" s="30">
        <f>SUM(H6:H16)</f>
        <v>2643697.72</v>
      </c>
      <c r="I17" s="30">
        <f>SUM(I6:I16)</f>
        <v>10562.140000000001</v>
      </c>
      <c r="J17" s="30">
        <f t="shared" si="3"/>
        <v>-1548243.1300000004</v>
      </c>
      <c r="K17" s="30">
        <f t="shared" si="4"/>
        <v>-798231.1799999997</v>
      </c>
      <c r="L17" s="30">
        <f t="shared" si="5"/>
        <v>-17358007.680000003</v>
      </c>
      <c r="M17" s="30">
        <f>I17-G17</f>
        <v>205385.24</v>
      </c>
      <c r="N17" s="59">
        <f t="shared" si="0"/>
        <v>0.6306619808340092</v>
      </c>
      <c r="O17" s="59">
        <f t="shared" si="1"/>
        <v>0.7680860926557781</v>
      </c>
      <c r="P17" s="59">
        <f t="shared" si="2"/>
        <v>0.13217361555580157</v>
      </c>
      <c r="U17" s="79"/>
    </row>
    <row r="18" spans="1:21" ht="15.75">
      <c r="A18" s="76" t="s">
        <v>76</v>
      </c>
      <c r="B18" s="75" t="s">
        <v>22</v>
      </c>
      <c r="C18" s="4" t="s">
        <v>23</v>
      </c>
      <c r="D18" s="36">
        <v>32</v>
      </c>
      <c r="E18" s="5">
        <v>140</v>
      </c>
      <c r="F18" s="5">
        <v>45</v>
      </c>
      <c r="G18" s="5">
        <v>10</v>
      </c>
      <c r="H18" s="105">
        <v>20</v>
      </c>
      <c r="I18" s="105">
        <v>0</v>
      </c>
      <c r="J18" s="5">
        <f t="shared" si="3"/>
        <v>-12</v>
      </c>
      <c r="K18" s="5">
        <f t="shared" si="4"/>
        <v>-25</v>
      </c>
      <c r="L18" s="5">
        <f t="shared" si="5"/>
        <v>-120</v>
      </c>
      <c r="M18" s="5">
        <f t="shared" si="6"/>
        <v>-10</v>
      </c>
      <c r="N18" s="44">
        <f t="shared" si="0"/>
        <v>0.625</v>
      </c>
      <c r="O18" s="44">
        <f t="shared" si="1"/>
        <v>0.4444444444444444</v>
      </c>
      <c r="P18" s="44">
        <f t="shared" si="2"/>
        <v>0.14285714285714285</v>
      </c>
      <c r="U18" s="79"/>
    </row>
    <row r="19" spans="1:21" ht="19.5" customHeight="1">
      <c r="A19" s="76" t="s">
        <v>21</v>
      </c>
      <c r="B19" s="75" t="s">
        <v>22</v>
      </c>
      <c r="C19" s="4" t="s">
        <v>97</v>
      </c>
      <c r="D19" s="36">
        <v>55.8</v>
      </c>
      <c r="E19" s="5"/>
      <c r="F19" s="5"/>
      <c r="G19" s="5"/>
      <c r="H19" s="105">
        <v>37.6</v>
      </c>
      <c r="I19" s="105">
        <v>3.2</v>
      </c>
      <c r="J19" s="5">
        <f t="shared" si="3"/>
        <v>-18.199999999999996</v>
      </c>
      <c r="K19" s="5">
        <f t="shared" si="4"/>
        <v>37.6</v>
      </c>
      <c r="L19" s="5">
        <f t="shared" si="5"/>
        <v>37.6</v>
      </c>
      <c r="M19" s="5">
        <f t="shared" si="6"/>
        <v>3.2</v>
      </c>
      <c r="N19" s="44">
        <f t="shared" si="0"/>
        <v>0.6738351254480287</v>
      </c>
      <c r="O19" s="44">
        <f t="shared" si="1"/>
      </c>
      <c r="P19" s="44">
        <f t="shared" si="2"/>
      </c>
      <c r="U19" s="79"/>
    </row>
    <row r="20" spans="1:21" ht="31.5">
      <c r="A20" s="77" t="s">
        <v>25</v>
      </c>
      <c r="B20" s="78" t="s">
        <v>78</v>
      </c>
      <c r="C20" s="4" t="s">
        <v>26</v>
      </c>
      <c r="D20" s="36">
        <v>256</v>
      </c>
      <c r="E20" s="5">
        <v>969.6</v>
      </c>
      <c r="F20" s="5">
        <v>307</v>
      </c>
      <c r="G20" s="5">
        <v>85</v>
      </c>
      <c r="H20" s="105">
        <v>11.2</v>
      </c>
      <c r="I20" s="105">
        <v>-16</v>
      </c>
      <c r="J20" s="5">
        <f t="shared" si="3"/>
        <v>-244.8</v>
      </c>
      <c r="K20" s="5">
        <f t="shared" si="4"/>
        <v>-295.8</v>
      </c>
      <c r="L20" s="5">
        <f t="shared" si="5"/>
        <v>-958.4</v>
      </c>
      <c r="M20" s="5">
        <f t="shared" si="6"/>
        <v>-101</v>
      </c>
      <c r="N20" s="44">
        <f t="shared" si="0"/>
        <v>0.04375</v>
      </c>
      <c r="O20" s="44">
        <f t="shared" si="1"/>
        <v>0.036482084690553744</v>
      </c>
      <c r="P20" s="44">
        <f t="shared" si="2"/>
        <v>0.01155115511551155</v>
      </c>
      <c r="U20" s="79"/>
    </row>
    <row r="21" spans="1:21" ht="15.75">
      <c r="A21" s="76" t="s">
        <v>24</v>
      </c>
      <c r="B21" s="75" t="s">
        <v>11</v>
      </c>
      <c r="C21" s="4" t="s">
        <v>80</v>
      </c>
      <c r="D21" s="36">
        <v>20</v>
      </c>
      <c r="E21" s="5">
        <v>120</v>
      </c>
      <c r="F21" s="5">
        <v>25</v>
      </c>
      <c r="G21" s="5">
        <v>15</v>
      </c>
      <c r="H21" s="105">
        <v>10</v>
      </c>
      <c r="I21" s="105">
        <v>0</v>
      </c>
      <c r="J21" s="5">
        <f t="shared" si="3"/>
        <v>-10</v>
      </c>
      <c r="K21" s="5">
        <f t="shared" si="4"/>
        <v>-15</v>
      </c>
      <c r="L21" s="5">
        <f t="shared" si="5"/>
        <v>-110</v>
      </c>
      <c r="M21" s="5">
        <f t="shared" si="6"/>
        <v>-15</v>
      </c>
      <c r="N21" s="44">
        <f t="shared" si="0"/>
        <v>0.5</v>
      </c>
      <c r="O21" s="44">
        <f t="shared" si="1"/>
        <v>0.4</v>
      </c>
      <c r="P21" s="44">
        <f t="shared" si="2"/>
        <v>0.08333333333333333</v>
      </c>
      <c r="U21" s="79"/>
    </row>
    <row r="22" spans="1:21" ht="27.75" customHeight="1">
      <c r="A22" s="158"/>
      <c r="B22" s="158"/>
      <c r="C22" s="54" t="s">
        <v>27</v>
      </c>
      <c r="D22" s="110">
        <f aca="true" t="shared" si="7" ref="D22:I22">D26+D29+D37+D47+D49+D55+D59+D61+D72</f>
        <v>1533397.74</v>
      </c>
      <c r="E22" s="111">
        <f t="shared" si="7"/>
        <v>6224060.930000001</v>
      </c>
      <c r="F22" s="111">
        <f t="shared" si="7"/>
        <v>2018890.21</v>
      </c>
      <c r="G22" s="111">
        <f t="shared" si="7"/>
        <v>654360.51</v>
      </c>
      <c r="H22" s="111">
        <f t="shared" si="7"/>
        <v>2034909.2000000004</v>
      </c>
      <c r="I22" s="111">
        <f t="shared" si="7"/>
        <v>354854.9500000001</v>
      </c>
      <c r="J22" s="95">
        <f t="shared" si="3"/>
        <v>501511.4600000004</v>
      </c>
      <c r="K22" s="95">
        <f t="shared" si="4"/>
        <v>16018.990000000456</v>
      </c>
      <c r="L22" s="95">
        <f t="shared" si="5"/>
        <v>-4189151.7300000004</v>
      </c>
      <c r="M22" s="95">
        <f t="shared" si="6"/>
        <v>-299505.5599999999</v>
      </c>
      <c r="N22" s="53">
        <f t="shared" si="0"/>
        <v>1.3270589534063095</v>
      </c>
      <c r="O22" s="53">
        <f t="shared" si="1"/>
        <v>1.007934552320208</v>
      </c>
      <c r="P22" s="53">
        <f t="shared" si="2"/>
        <v>0.32694236494243323</v>
      </c>
      <c r="T22" s="6"/>
      <c r="U22" s="79"/>
    </row>
    <row r="23" spans="1:16" ht="31.5">
      <c r="A23" s="148" t="s">
        <v>25</v>
      </c>
      <c r="B23" s="150" t="s">
        <v>78</v>
      </c>
      <c r="C23" s="7" t="s">
        <v>99</v>
      </c>
      <c r="D23" s="40">
        <v>30776.88</v>
      </c>
      <c r="E23" s="5">
        <f>135475.5+25225.6</f>
        <v>160701.1</v>
      </c>
      <c r="F23" s="5">
        <v>46850</v>
      </c>
      <c r="G23" s="5">
        <v>13600</v>
      </c>
      <c r="H23" s="38">
        <v>44043.09</v>
      </c>
      <c r="I23" s="38">
        <v>6766.780000000001</v>
      </c>
      <c r="J23" s="8">
        <f t="shared" si="3"/>
        <v>13266.209999999995</v>
      </c>
      <c r="K23" s="8">
        <f t="shared" si="4"/>
        <v>-2806.9100000000035</v>
      </c>
      <c r="L23" s="8">
        <f t="shared" si="5"/>
        <v>-116658.01000000001</v>
      </c>
      <c r="M23" s="8">
        <f t="shared" si="6"/>
        <v>-6833.219999999999</v>
      </c>
      <c r="N23" s="45">
        <f t="shared" si="0"/>
        <v>1.4310446672957102</v>
      </c>
      <c r="O23" s="45">
        <f t="shared" si="1"/>
        <v>0.9400872998932763</v>
      </c>
      <c r="P23" s="45">
        <f t="shared" si="2"/>
        <v>0.2740683791212381</v>
      </c>
    </row>
    <row r="24" spans="1:16" ht="15.75">
      <c r="A24" s="153"/>
      <c r="B24" s="155"/>
      <c r="C24" s="7" t="s">
        <v>28</v>
      </c>
      <c r="D24" s="39">
        <v>3971.23</v>
      </c>
      <c r="E24" s="5">
        <v>31937.8</v>
      </c>
      <c r="F24" s="5">
        <f>G24</f>
        <v>31937.8</v>
      </c>
      <c r="G24" s="5">
        <v>31937.8</v>
      </c>
      <c r="H24" s="17">
        <v>9834.5</v>
      </c>
      <c r="I24" s="17">
        <v>0</v>
      </c>
      <c r="J24" s="5">
        <f t="shared" si="3"/>
        <v>5863.27</v>
      </c>
      <c r="K24" s="5">
        <f t="shared" si="4"/>
        <v>-22103.3</v>
      </c>
      <c r="L24" s="5">
        <f t="shared" si="5"/>
        <v>-22103.3</v>
      </c>
      <c r="M24" s="5">
        <f t="shared" si="6"/>
        <v>-31937.8</v>
      </c>
      <c r="N24" s="45">
        <f t="shared" si="0"/>
        <v>2.4764367714788618</v>
      </c>
      <c r="O24" s="45">
        <f t="shared" si="1"/>
        <v>0.30792665744039976</v>
      </c>
      <c r="P24" s="45">
        <f t="shared" si="2"/>
        <v>0.30792665744039976</v>
      </c>
    </row>
    <row r="25" spans="1:16" ht="15.75">
      <c r="A25" s="153"/>
      <c r="B25" s="155"/>
      <c r="C25" s="7" t="s">
        <v>51</v>
      </c>
      <c r="D25" s="39">
        <v>19432.7</v>
      </c>
      <c r="E25" s="5">
        <f>110819.4+14383.9-8662.9</f>
        <v>116540.4</v>
      </c>
      <c r="F25" s="5">
        <v>31150</v>
      </c>
      <c r="G25" s="5">
        <v>8200</v>
      </c>
      <c r="H25" s="39">
        <v>27872.32</v>
      </c>
      <c r="I25" s="39">
        <v>3957.07</v>
      </c>
      <c r="J25" s="8">
        <f t="shared" si="3"/>
        <v>8439.619999999999</v>
      </c>
      <c r="K25" s="8">
        <f t="shared" si="4"/>
        <v>-3277.6800000000003</v>
      </c>
      <c r="L25" s="8">
        <f t="shared" si="5"/>
        <v>-88668.07999999999</v>
      </c>
      <c r="M25" s="8">
        <f t="shared" si="6"/>
        <v>-4242.93</v>
      </c>
      <c r="N25" s="45">
        <f t="shared" si="0"/>
        <v>1.4342999171499584</v>
      </c>
      <c r="O25" s="45">
        <f t="shared" si="1"/>
        <v>0.8947775280898876</v>
      </c>
      <c r="P25" s="45">
        <f t="shared" si="2"/>
        <v>0.2391644442613892</v>
      </c>
    </row>
    <row r="26" spans="1:16" ht="15.75">
      <c r="A26" s="154"/>
      <c r="B26" s="156"/>
      <c r="C26" s="58" t="s">
        <v>9</v>
      </c>
      <c r="D26" s="30">
        <f aca="true" t="shared" si="8" ref="D26:I26">SUM(D23:D25)</f>
        <v>54180.81</v>
      </c>
      <c r="E26" s="30">
        <f t="shared" si="8"/>
        <v>309179.3</v>
      </c>
      <c r="F26" s="30">
        <f t="shared" si="8"/>
        <v>109937.8</v>
      </c>
      <c r="G26" s="30">
        <f t="shared" si="8"/>
        <v>53737.8</v>
      </c>
      <c r="H26" s="30">
        <f t="shared" si="8"/>
        <v>81749.91</v>
      </c>
      <c r="I26" s="30">
        <f t="shared" si="8"/>
        <v>10723.85</v>
      </c>
      <c r="J26" s="30">
        <f t="shared" si="3"/>
        <v>27569.100000000006</v>
      </c>
      <c r="K26" s="30">
        <f t="shared" si="4"/>
        <v>-28187.89</v>
      </c>
      <c r="L26" s="30">
        <f t="shared" si="5"/>
        <v>-227429.38999999998</v>
      </c>
      <c r="M26" s="30">
        <f t="shared" si="6"/>
        <v>-43013.950000000004</v>
      </c>
      <c r="N26" s="60">
        <f t="shared" si="0"/>
        <v>1.5088351392310304</v>
      </c>
      <c r="O26" s="60">
        <f t="shared" si="1"/>
        <v>0.7436014728328201</v>
      </c>
      <c r="P26" s="60">
        <f t="shared" si="2"/>
        <v>0.26440938963248833</v>
      </c>
    </row>
    <row r="27" spans="1:16" ht="31.5">
      <c r="A27" s="118">
        <v>951</v>
      </c>
      <c r="B27" s="118" t="s">
        <v>11</v>
      </c>
      <c r="C27" s="9" t="s">
        <v>29</v>
      </c>
      <c r="D27" s="40">
        <v>21471.33</v>
      </c>
      <c r="E27" s="5">
        <v>91712.1</v>
      </c>
      <c r="F27" s="5">
        <v>24803</v>
      </c>
      <c r="G27" s="5">
        <v>5900</v>
      </c>
      <c r="H27" s="38">
        <v>25456.02</v>
      </c>
      <c r="I27" s="38">
        <v>8494.89</v>
      </c>
      <c r="J27" s="5">
        <f t="shared" si="3"/>
        <v>3984.6899999999987</v>
      </c>
      <c r="K27" s="5">
        <f t="shared" si="4"/>
        <v>653.0200000000004</v>
      </c>
      <c r="L27" s="5">
        <f t="shared" si="5"/>
        <v>-66256.08</v>
      </c>
      <c r="M27" s="5">
        <f t="shared" si="6"/>
        <v>2594.8899999999994</v>
      </c>
      <c r="N27" s="45">
        <f t="shared" si="0"/>
        <v>1.1855818898968997</v>
      </c>
      <c r="O27" s="45">
        <f t="shared" si="1"/>
        <v>1.0263282667419265</v>
      </c>
      <c r="P27" s="45">
        <f t="shared" si="2"/>
        <v>0.2775644653213698</v>
      </c>
    </row>
    <row r="28" spans="1:16" ht="15.75">
      <c r="A28" s="118"/>
      <c r="B28" s="118"/>
      <c r="C28" s="7" t="s">
        <v>30</v>
      </c>
      <c r="D28" s="40">
        <v>2396.66</v>
      </c>
      <c r="E28" s="5">
        <v>14224.9</v>
      </c>
      <c r="F28" s="5">
        <v>1241.3</v>
      </c>
      <c r="G28" s="5">
        <v>599</v>
      </c>
      <c r="H28" s="38">
        <v>2681.58</v>
      </c>
      <c r="I28" s="38">
        <v>268.66</v>
      </c>
      <c r="J28" s="5">
        <f t="shared" si="3"/>
        <v>284.9200000000001</v>
      </c>
      <c r="K28" s="5">
        <f t="shared" si="4"/>
        <v>1440.28</v>
      </c>
      <c r="L28" s="5">
        <f t="shared" si="5"/>
        <v>-11543.32</v>
      </c>
      <c r="M28" s="5">
        <f t="shared" si="6"/>
        <v>-330.34</v>
      </c>
      <c r="N28" s="45">
        <f t="shared" si="0"/>
        <v>1.1188821109377216</v>
      </c>
      <c r="O28" s="45">
        <f t="shared" si="1"/>
        <v>2.16029968581326</v>
      </c>
      <c r="P28" s="45">
        <f t="shared" si="2"/>
        <v>0.18851310026784018</v>
      </c>
    </row>
    <row r="29" spans="1:16" ht="15.75">
      <c r="A29" s="118"/>
      <c r="B29" s="118"/>
      <c r="C29" s="61" t="s">
        <v>9</v>
      </c>
      <c r="D29" s="30">
        <f>D27+D28</f>
        <v>23867.99</v>
      </c>
      <c r="E29" s="30">
        <f>E27+E28</f>
        <v>105937</v>
      </c>
      <c r="F29" s="30">
        <f>F27+F28</f>
        <v>26044.3</v>
      </c>
      <c r="G29" s="30">
        <f>G27+G28</f>
        <v>6499</v>
      </c>
      <c r="H29" s="30">
        <f>H27+H28</f>
        <v>28137.6</v>
      </c>
      <c r="I29" s="30">
        <f>I27+I28</f>
        <v>8763.55</v>
      </c>
      <c r="J29" s="30">
        <f t="shared" si="3"/>
        <v>4269.609999999997</v>
      </c>
      <c r="K29" s="30">
        <f t="shared" si="4"/>
        <v>2093.2999999999993</v>
      </c>
      <c r="L29" s="30">
        <f t="shared" si="5"/>
        <v>-77799.4</v>
      </c>
      <c r="M29" s="30">
        <f t="shared" si="6"/>
        <v>2264.5499999999993</v>
      </c>
      <c r="N29" s="60">
        <f t="shared" si="0"/>
        <v>1.178884355155168</v>
      </c>
      <c r="O29" s="60">
        <f t="shared" si="1"/>
        <v>1.0803745925212043</v>
      </c>
      <c r="P29" s="60">
        <f t="shared" si="2"/>
        <v>0.2656069173187838</v>
      </c>
    </row>
    <row r="30" spans="1:16" ht="15.75">
      <c r="A30" s="142" t="s">
        <v>31</v>
      </c>
      <c r="B30" s="118" t="s">
        <v>32</v>
      </c>
      <c r="C30" s="7" t="s">
        <v>33</v>
      </c>
      <c r="D30" s="39"/>
      <c r="E30" s="3">
        <v>496</v>
      </c>
      <c r="F30" s="3">
        <f>G30</f>
        <v>0</v>
      </c>
      <c r="G30" s="3">
        <v>0</v>
      </c>
      <c r="H30" s="39">
        <v>0</v>
      </c>
      <c r="I30" s="39">
        <v>0</v>
      </c>
      <c r="J30" s="3">
        <f t="shared" si="3"/>
        <v>0</v>
      </c>
      <c r="K30" s="3">
        <f t="shared" si="4"/>
        <v>0</v>
      </c>
      <c r="L30" s="3">
        <f t="shared" si="5"/>
        <v>-496</v>
      </c>
      <c r="M30" s="3">
        <f t="shared" si="6"/>
        <v>0</v>
      </c>
      <c r="N30" s="45">
        <f t="shared" si="0"/>
      </c>
      <c r="O30" s="45">
        <f t="shared" si="1"/>
      </c>
      <c r="P30" s="45">
        <f t="shared" si="2"/>
        <v>0</v>
      </c>
    </row>
    <row r="31" spans="1:16" ht="15.75">
      <c r="A31" s="142"/>
      <c r="B31" s="118"/>
      <c r="C31" s="10" t="s">
        <v>34</v>
      </c>
      <c r="D31" s="39">
        <v>19583.99</v>
      </c>
      <c r="E31" s="3">
        <v>100081.7</v>
      </c>
      <c r="F31" s="3">
        <v>29500</v>
      </c>
      <c r="G31" s="3">
        <v>8500</v>
      </c>
      <c r="H31" s="39">
        <v>25109.530000000002</v>
      </c>
      <c r="I31" s="39">
        <v>2475.85</v>
      </c>
      <c r="J31" s="3">
        <f t="shared" si="3"/>
        <v>5525.540000000001</v>
      </c>
      <c r="K31" s="3">
        <f t="shared" si="4"/>
        <v>-4390.4699999999975</v>
      </c>
      <c r="L31" s="3">
        <f t="shared" si="5"/>
        <v>-74972.17</v>
      </c>
      <c r="M31" s="3">
        <f t="shared" si="6"/>
        <v>-6024.15</v>
      </c>
      <c r="N31" s="45">
        <f t="shared" si="0"/>
        <v>1.2821457731545003</v>
      </c>
      <c r="O31" s="45">
        <f t="shared" si="1"/>
        <v>0.8511705084745763</v>
      </c>
      <c r="P31" s="45">
        <f t="shared" si="2"/>
        <v>0.25089032260643057</v>
      </c>
    </row>
    <row r="32" spans="1:16" ht="15.75">
      <c r="A32" s="142"/>
      <c r="B32" s="118"/>
      <c r="C32" s="9" t="s">
        <v>35</v>
      </c>
      <c r="D32" s="39">
        <v>168.42</v>
      </c>
      <c r="E32" s="3">
        <v>557</v>
      </c>
      <c r="F32" s="3">
        <v>185.6</v>
      </c>
      <c r="G32" s="3">
        <v>46.4</v>
      </c>
      <c r="H32" s="39">
        <v>3063.6</v>
      </c>
      <c r="I32" s="39">
        <v>502.02</v>
      </c>
      <c r="J32" s="3">
        <f t="shared" si="3"/>
        <v>2895.18</v>
      </c>
      <c r="K32" s="3">
        <f t="shared" si="4"/>
        <v>2878</v>
      </c>
      <c r="L32" s="3">
        <f t="shared" si="5"/>
        <v>2506.6</v>
      </c>
      <c r="M32" s="3">
        <f t="shared" si="6"/>
        <v>455.62</v>
      </c>
      <c r="N32" s="45">
        <f t="shared" si="0"/>
        <v>18.19023868899181</v>
      </c>
      <c r="O32" s="45">
        <f t="shared" si="1"/>
        <v>16.50646551724138</v>
      </c>
      <c r="P32" s="45">
        <f t="shared" si="2"/>
        <v>5.500179533213644</v>
      </c>
    </row>
    <row r="33" spans="1:16" ht="15.75">
      <c r="A33" s="142"/>
      <c r="B33" s="118"/>
      <c r="C33" s="9" t="s">
        <v>36</v>
      </c>
      <c r="D33" s="5">
        <f>D34+D36+D35</f>
        <v>23124.420000000002</v>
      </c>
      <c r="E33" s="5">
        <f>E34+E36+E35</f>
        <v>200264</v>
      </c>
      <c r="F33" s="5">
        <f>F34+F36+F35</f>
        <v>141149.9</v>
      </c>
      <c r="G33" s="5">
        <f>G34+G36+G35</f>
        <v>42635.9</v>
      </c>
      <c r="H33" s="5">
        <v>143459.28</v>
      </c>
      <c r="I33" s="5">
        <v>5692.1</v>
      </c>
      <c r="J33" s="11">
        <f t="shared" si="3"/>
        <v>120334.86</v>
      </c>
      <c r="K33" s="11">
        <f t="shared" si="4"/>
        <v>2309.3800000000047</v>
      </c>
      <c r="L33" s="11">
        <f t="shared" si="5"/>
        <v>-56804.72</v>
      </c>
      <c r="M33" s="11">
        <f t="shared" si="6"/>
        <v>-36943.8</v>
      </c>
      <c r="N33" s="45">
        <f t="shared" si="0"/>
        <v>6.203800138554826</v>
      </c>
      <c r="O33" s="45">
        <f t="shared" si="1"/>
        <v>1.0163611876451915</v>
      </c>
      <c r="P33" s="45">
        <f t="shared" si="2"/>
        <v>0.7163508169216634</v>
      </c>
    </row>
    <row r="34" spans="1:16" ht="15.75">
      <c r="A34" s="142"/>
      <c r="B34" s="118"/>
      <c r="C34" s="12" t="s">
        <v>37</v>
      </c>
      <c r="D34" s="41">
        <v>12223.08</v>
      </c>
      <c r="E34" s="109">
        <f>48594.6+85630.3+29092.9</f>
        <v>163317.8</v>
      </c>
      <c r="F34" s="109">
        <f>115493.1+14325.9</f>
        <v>129819</v>
      </c>
      <c r="G34" s="109">
        <f>26000+14325.9</f>
        <v>40325.9</v>
      </c>
      <c r="H34" s="41">
        <v>129725.99</v>
      </c>
      <c r="I34" s="41">
        <v>3828.75</v>
      </c>
      <c r="J34" s="13">
        <f t="shared" si="3"/>
        <v>117502.91</v>
      </c>
      <c r="K34" s="13">
        <f t="shared" si="4"/>
        <v>-93.00999999999476</v>
      </c>
      <c r="L34" s="13">
        <f t="shared" si="5"/>
        <v>-33591.80999999998</v>
      </c>
      <c r="M34" s="13">
        <f t="shared" si="6"/>
        <v>-36497.15</v>
      </c>
      <c r="N34" s="45">
        <f t="shared" si="0"/>
        <v>10.61319978270616</v>
      </c>
      <c r="O34" s="45">
        <f t="shared" si="1"/>
        <v>0.9992835409300642</v>
      </c>
      <c r="P34" s="45">
        <f t="shared" si="2"/>
        <v>0.7943162962028635</v>
      </c>
    </row>
    <row r="35" spans="1:16" ht="15.75">
      <c r="A35" s="142"/>
      <c r="B35" s="118"/>
      <c r="C35" s="12" t="s">
        <v>38</v>
      </c>
      <c r="D35" s="41">
        <v>1307.34</v>
      </c>
      <c r="E35" s="109">
        <v>1867.8</v>
      </c>
      <c r="F35" s="109">
        <v>160.3</v>
      </c>
      <c r="G35" s="109">
        <v>0</v>
      </c>
      <c r="H35" s="41">
        <v>693.33</v>
      </c>
      <c r="I35" s="41">
        <v>0</v>
      </c>
      <c r="J35" s="13">
        <f t="shared" si="3"/>
        <v>-614.0099999999999</v>
      </c>
      <c r="K35" s="13">
        <f t="shared" si="4"/>
        <v>533.03</v>
      </c>
      <c r="L35" s="13">
        <f t="shared" si="5"/>
        <v>-1174.4699999999998</v>
      </c>
      <c r="M35" s="13">
        <f t="shared" si="6"/>
        <v>0</v>
      </c>
      <c r="N35" s="45">
        <f t="shared" si="0"/>
        <v>0.5303364082794071</v>
      </c>
      <c r="O35" s="45">
        <f t="shared" si="1"/>
        <v>4.325202744853399</v>
      </c>
      <c r="P35" s="45">
        <f t="shared" si="2"/>
        <v>0.37120141342756185</v>
      </c>
    </row>
    <row r="36" spans="1:16" ht="15.75">
      <c r="A36" s="142"/>
      <c r="B36" s="118"/>
      <c r="C36" s="12" t="s">
        <v>39</v>
      </c>
      <c r="D36" s="30">
        <v>9594</v>
      </c>
      <c r="E36" s="5">
        <f>35078.4+85630.3-85630.3</f>
        <v>35078.40000000001</v>
      </c>
      <c r="F36" s="5">
        <v>11170.6</v>
      </c>
      <c r="G36" s="5">
        <v>2310</v>
      </c>
      <c r="H36" s="30">
        <v>13039.960000000001</v>
      </c>
      <c r="I36" s="41">
        <v>1863.35</v>
      </c>
      <c r="J36" s="13">
        <f t="shared" si="3"/>
        <v>3445.960000000001</v>
      </c>
      <c r="K36" s="13">
        <f t="shared" si="4"/>
        <v>1869.3600000000006</v>
      </c>
      <c r="L36" s="13">
        <f t="shared" si="5"/>
        <v>-22038.44000000001</v>
      </c>
      <c r="M36" s="13">
        <f t="shared" si="6"/>
        <v>-446.6500000000001</v>
      </c>
      <c r="N36" s="45">
        <f t="shared" si="0"/>
        <v>1.359178653324995</v>
      </c>
      <c r="O36" s="45">
        <f t="shared" si="1"/>
        <v>1.167346427228618</v>
      </c>
      <c r="P36" s="45">
        <f t="shared" si="2"/>
        <v>0.3717375935048348</v>
      </c>
    </row>
    <row r="37" spans="1:16" ht="15.75">
      <c r="A37" s="142"/>
      <c r="B37" s="142"/>
      <c r="C37" s="61" t="s">
        <v>9</v>
      </c>
      <c r="D37" s="30">
        <f>SUM(D30:D33)</f>
        <v>42876.83</v>
      </c>
      <c r="E37" s="30">
        <f>SUM(E30:E33)</f>
        <v>301398.7</v>
      </c>
      <c r="F37" s="30">
        <f>SUM(F30:F33)</f>
        <v>170835.5</v>
      </c>
      <c r="G37" s="30">
        <f>SUM(G30:G33)</f>
        <v>51182.3</v>
      </c>
      <c r="H37" s="30">
        <f>SUM(H30:H33)</f>
        <v>171632.41</v>
      </c>
      <c r="I37" s="30">
        <f>SUM(I30:I33)</f>
        <v>8669.970000000001</v>
      </c>
      <c r="J37" s="30">
        <f t="shared" si="3"/>
        <v>128755.58</v>
      </c>
      <c r="K37" s="30">
        <f t="shared" si="4"/>
        <v>796.9100000000035</v>
      </c>
      <c r="L37" s="30">
        <f t="shared" si="5"/>
        <v>-129766.29000000001</v>
      </c>
      <c r="M37" s="30">
        <f t="shared" si="6"/>
        <v>-42512.33</v>
      </c>
      <c r="N37" s="60">
        <f aca="true" t="shared" si="9" ref="N37:N68">_xlfn.IFERROR(H37/D37,"")</f>
        <v>4.002917426498181</v>
      </c>
      <c r="O37" s="60">
        <f aca="true" t="shared" si="10" ref="O37:O68">_xlfn.IFERROR(H37/F37,"")</f>
        <v>1.0046647798613286</v>
      </c>
      <c r="P37" s="60">
        <f aca="true" t="shared" si="11" ref="P37:P68">_xlfn.IFERROR(H37/E37,"")</f>
        <v>0.5694530533807877</v>
      </c>
    </row>
    <row r="38" spans="1:16" ht="31.5">
      <c r="A38" s="142" t="s">
        <v>77</v>
      </c>
      <c r="B38" s="118" t="s">
        <v>15</v>
      </c>
      <c r="C38" s="9" t="s">
        <v>41</v>
      </c>
      <c r="D38" s="40">
        <v>108033.62</v>
      </c>
      <c r="E38" s="5">
        <v>326627.4</v>
      </c>
      <c r="F38" s="5">
        <v>114800.5</v>
      </c>
      <c r="G38" s="5">
        <v>20200</v>
      </c>
      <c r="H38" s="40">
        <v>97210.98</v>
      </c>
      <c r="I38" s="40">
        <v>3200.56</v>
      </c>
      <c r="J38" s="11">
        <f t="shared" si="3"/>
        <v>-10822.64</v>
      </c>
      <c r="K38" s="11">
        <f t="shared" si="4"/>
        <v>-17589.520000000004</v>
      </c>
      <c r="L38" s="11">
        <f t="shared" si="5"/>
        <v>-229416.42000000004</v>
      </c>
      <c r="M38" s="11">
        <f t="shared" si="6"/>
        <v>-16999.44</v>
      </c>
      <c r="N38" s="45">
        <f t="shared" si="9"/>
        <v>0.8998215555490967</v>
      </c>
      <c r="O38" s="45">
        <f t="shared" si="10"/>
        <v>0.8467818519954181</v>
      </c>
      <c r="P38" s="45">
        <f t="shared" si="11"/>
        <v>0.29762040784086086</v>
      </c>
    </row>
    <row r="39" spans="1:16" ht="31.5">
      <c r="A39" s="142"/>
      <c r="B39" s="118"/>
      <c r="C39" s="9" t="s">
        <v>42</v>
      </c>
      <c r="D39" s="40">
        <v>-7445.28</v>
      </c>
      <c r="E39" s="5">
        <f>245061.4+9204.6</f>
        <v>254266</v>
      </c>
      <c r="F39" s="5">
        <v>56504.6</v>
      </c>
      <c r="G39" s="5">
        <v>12804.6</v>
      </c>
      <c r="H39" s="40">
        <v>143206.16</v>
      </c>
      <c r="I39" s="40">
        <v>102430.55</v>
      </c>
      <c r="J39" s="11">
        <f t="shared" si="3"/>
        <v>150651.44</v>
      </c>
      <c r="K39" s="11">
        <f t="shared" si="4"/>
        <v>86701.56</v>
      </c>
      <c r="L39" s="11">
        <f t="shared" si="5"/>
        <v>-111059.84</v>
      </c>
      <c r="M39" s="11">
        <f t="shared" si="6"/>
        <v>89625.95</v>
      </c>
      <c r="N39" s="45">
        <f t="shared" si="9"/>
        <v>-19.2344895020738</v>
      </c>
      <c r="O39" s="45">
        <f t="shared" si="10"/>
        <v>2.534415959054661</v>
      </c>
      <c r="P39" s="45">
        <f t="shared" si="11"/>
        <v>0.5632139570371186</v>
      </c>
    </row>
    <row r="40" spans="1:16" ht="31.5">
      <c r="A40" s="142"/>
      <c r="B40" s="118"/>
      <c r="C40" s="7" t="s">
        <v>43</v>
      </c>
      <c r="D40" s="40">
        <v>15713.29</v>
      </c>
      <c r="E40" s="5">
        <f>48566.2-5534.78</f>
        <v>43031.42</v>
      </c>
      <c r="F40" s="5">
        <v>14340</v>
      </c>
      <c r="G40" s="5">
        <v>3000</v>
      </c>
      <c r="H40" s="40">
        <v>13325.11</v>
      </c>
      <c r="I40" s="40">
        <v>358.90000000000003</v>
      </c>
      <c r="J40" s="5">
        <f t="shared" si="3"/>
        <v>-2388.1800000000003</v>
      </c>
      <c r="K40" s="5">
        <f t="shared" si="4"/>
        <v>-1014.8899999999994</v>
      </c>
      <c r="L40" s="5">
        <f t="shared" si="5"/>
        <v>-29706.309999999998</v>
      </c>
      <c r="M40" s="5">
        <f t="shared" si="6"/>
        <v>-2641.1</v>
      </c>
      <c r="N40" s="45">
        <f t="shared" si="9"/>
        <v>0.8480152787863012</v>
      </c>
      <c r="O40" s="45">
        <f t="shared" si="10"/>
        <v>0.9292266387726639</v>
      </c>
      <c r="P40" s="45">
        <f t="shared" si="11"/>
        <v>0.30966001121970876</v>
      </c>
    </row>
    <row r="41" spans="1:16" s="43" customFormat="1" ht="25.5" customHeight="1">
      <c r="A41" s="143"/>
      <c r="B41" s="146"/>
      <c r="C41" s="9" t="s">
        <v>42</v>
      </c>
      <c r="D41" s="40">
        <v>955.13</v>
      </c>
      <c r="E41" s="5"/>
      <c r="F41" s="5"/>
      <c r="G41" s="5"/>
      <c r="H41" s="40">
        <v>0</v>
      </c>
      <c r="I41" s="40">
        <v>0</v>
      </c>
      <c r="J41" s="5">
        <f t="shared" si="3"/>
        <v>-955.13</v>
      </c>
      <c r="K41" s="5">
        <f t="shared" si="4"/>
        <v>0</v>
      </c>
      <c r="L41" s="5">
        <f t="shared" si="5"/>
        <v>0</v>
      </c>
      <c r="M41" s="5">
        <f t="shared" si="6"/>
        <v>0</v>
      </c>
      <c r="N41" s="48">
        <f t="shared" si="9"/>
        <v>0</v>
      </c>
      <c r="O41" s="48">
        <f t="shared" si="10"/>
      </c>
      <c r="P41" s="48">
        <f t="shared" si="11"/>
      </c>
    </row>
    <row r="42" spans="1:16" ht="31.5">
      <c r="A42" s="144"/>
      <c r="B42" s="119"/>
      <c r="C42" s="14" t="s">
        <v>82</v>
      </c>
      <c r="D42" s="40">
        <v>1435.87</v>
      </c>
      <c r="E42" s="5">
        <v>2948.3</v>
      </c>
      <c r="F42" s="5">
        <v>1412.3</v>
      </c>
      <c r="G42" s="5">
        <v>0</v>
      </c>
      <c r="H42" s="40">
        <v>1797.79</v>
      </c>
      <c r="I42" s="40">
        <v>144.31</v>
      </c>
      <c r="J42" s="5">
        <f t="shared" si="3"/>
        <v>361.9200000000001</v>
      </c>
      <c r="K42" s="5">
        <f t="shared" si="4"/>
        <v>385.49</v>
      </c>
      <c r="L42" s="5">
        <f t="shared" si="5"/>
        <v>-1150.5100000000002</v>
      </c>
      <c r="M42" s="5">
        <f t="shared" si="6"/>
        <v>144.31</v>
      </c>
      <c r="N42" s="45">
        <f t="shared" si="9"/>
        <v>1.2520562446461032</v>
      </c>
      <c r="O42" s="45">
        <f t="shared" si="10"/>
        <v>1.2729519223960915</v>
      </c>
      <c r="P42" s="45">
        <f t="shared" si="11"/>
        <v>0.6097717328630058</v>
      </c>
    </row>
    <row r="43" spans="1:16" ht="15.75">
      <c r="A43" s="145"/>
      <c r="B43" s="147"/>
      <c r="C43" s="15" t="s">
        <v>86</v>
      </c>
      <c r="D43" s="40">
        <v>56.27</v>
      </c>
      <c r="E43" s="5"/>
      <c r="F43" s="5"/>
      <c r="G43" s="5"/>
      <c r="H43" s="40">
        <v>45.15</v>
      </c>
      <c r="I43" s="40">
        <v>11.27</v>
      </c>
      <c r="J43" s="5">
        <f t="shared" si="3"/>
        <v>-11.120000000000005</v>
      </c>
      <c r="K43" s="5">
        <f t="shared" si="4"/>
        <v>45.15</v>
      </c>
      <c r="L43" s="5">
        <f t="shared" si="5"/>
        <v>45.15</v>
      </c>
      <c r="M43" s="5">
        <f t="shared" si="6"/>
        <v>11.27</v>
      </c>
      <c r="N43" s="45">
        <f t="shared" si="9"/>
        <v>0.8023813755109294</v>
      </c>
      <c r="O43" s="45">
        <f t="shared" si="10"/>
      </c>
      <c r="P43" s="45">
        <f t="shared" si="11"/>
      </c>
    </row>
    <row r="44" spans="1:16" ht="27.75" customHeight="1">
      <c r="A44" s="142"/>
      <c r="B44" s="118"/>
      <c r="C44" s="9" t="s">
        <v>44</v>
      </c>
      <c r="D44" s="40">
        <v>40887.08</v>
      </c>
      <c r="E44" s="3">
        <v>104142</v>
      </c>
      <c r="F44" s="3">
        <v>25240</v>
      </c>
      <c r="G44" s="3">
        <v>9400</v>
      </c>
      <c r="H44" s="40">
        <v>57172.200000000004</v>
      </c>
      <c r="I44" s="40">
        <v>-4.97999999999999</v>
      </c>
      <c r="J44" s="3">
        <f t="shared" si="3"/>
        <v>16285.120000000003</v>
      </c>
      <c r="K44" s="3">
        <f t="shared" si="4"/>
        <v>31932.200000000004</v>
      </c>
      <c r="L44" s="3">
        <f t="shared" si="5"/>
        <v>-46969.799999999996</v>
      </c>
      <c r="M44" s="3">
        <f t="shared" si="6"/>
        <v>-9404.98</v>
      </c>
      <c r="N44" s="45">
        <f t="shared" si="9"/>
        <v>1.3982950115293145</v>
      </c>
      <c r="O44" s="45">
        <f t="shared" si="10"/>
        <v>2.2651426307448497</v>
      </c>
      <c r="P44" s="45">
        <f t="shared" si="11"/>
        <v>0.5489831192026272</v>
      </c>
    </row>
    <row r="45" spans="1:16" s="43" customFormat="1" ht="18" customHeight="1" hidden="1">
      <c r="A45" s="142"/>
      <c r="B45" s="118"/>
      <c r="C45" s="86" t="s">
        <v>45</v>
      </c>
      <c r="D45" s="40">
        <v>0</v>
      </c>
      <c r="E45" s="3">
        <v>0</v>
      </c>
      <c r="F45" s="3">
        <v>0</v>
      </c>
      <c r="G45" s="3">
        <v>0</v>
      </c>
      <c r="H45" s="40">
        <v>0</v>
      </c>
      <c r="I45" s="40">
        <v>0</v>
      </c>
      <c r="J45" s="3">
        <f t="shared" si="3"/>
        <v>0</v>
      </c>
      <c r="K45" s="3">
        <f t="shared" si="4"/>
        <v>0</v>
      </c>
      <c r="L45" s="3">
        <f t="shared" si="5"/>
        <v>0</v>
      </c>
      <c r="M45" s="3">
        <f t="shared" si="6"/>
        <v>0</v>
      </c>
      <c r="N45" s="48">
        <f t="shared" si="9"/>
      </c>
      <c r="O45" s="48">
        <f t="shared" si="10"/>
      </c>
      <c r="P45" s="48">
        <f t="shared" si="11"/>
      </c>
    </row>
    <row r="46" spans="1:16" ht="27.75" customHeight="1">
      <c r="A46" s="142"/>
      <c r="B46" s="118"/>
      <c r="C46" s="9" t="s">
        <v>46</v>
      </c>
      <c r="D46" s="39">
        <v>13335.62</v>
      </c>
      <c r="E46" s="3">
        <v>45272.2</v>
      </c>
      <c r="F46" s="3">
        <v>7800</v>
      </c>
      <c r="G46" s="3">
        <v>2400</v>
      </c>
      <c r="H46" s="39">
        <v>22422.1</v>
      </c>
      <c r="I46" s="39">
        <v>3613.6499999999996</v>
      </c>
      <c r="J46" s="3">
        <f t="shared" si="3"/>
        <v>9086.479999999998</v>
      </c>
      <c r="K46" s="3">
        <f t="shared" si="4"/>
        <v>14622.099999999999</v>
      </c>
      <c r="L46" s="3">
        <f t="shared" si="5"/>
        <v>-22850.1</v>
      </c>
      <c r="M46" s="3">
        <f t="shared" si="6"/>
        <v>1213.6499999999996</v>
      </c>
      <c r="N46" s="45">
        <f t="shared" si="9"/>
        <v>1.6813691451915995</v>
      </c>
      <c r="O46" s="45">
        <f t="shared" si="10"/>
        <v>2.874628205128205</v>
      </c>
      <c r="P46" s="45">
        <f t="shared" si="11"/>
        <v>0.49527303731649885</v>
      </c>
    </row>
    <row r="47" spans="1:16" ht="15.75">
      <c r="A47" s="142"/>
      <c r="B47" s="142"/>
      <c r="C47" s="61" t="s">
        <v>9</v>
      </c>
      <c r="D47" s="30">
        <f>SUM(D38:D46)</f>
        <v>172971.6</v>
      </c>
      <c r="E47" s="30">
        <f>SUM(E38:E46)</f>
        <v>776287.3200000001</v>
      </c>
      <c r="F47" s="30">
        <f>SUM(F38:F46)</f>
        <v>220097.4</v>
      </c>
      <c r="G47" s="30">
        <f>SUM(G38:G46)</f>
        <v>47804.6</v>
      </c>
      <c r="H47" s="30">
        <f>SUM(H38:H46)</f>
        <v>335179.49</v>
      </c>
      <c r="I47" s="30">
        <f>SUM(I38:I46)</f>
        <v>109754.26</v>
      </c>
      <c r="J47" s="30">
        <f t="shared" si="3"/>
        <v>162207.88999999998</v>
      </c>
      <c r="K47" s="30">
        <f t="shared" si="4"/>
        <v>115082.09</v>
      </c>
      <c r="L47" s="30">
        <f t="shared" si="5"/>
        <v>-441107.8300000001</v>
      </c>
      <c r="M47" s="30">
        <f t="shared" si="6"/>
        <v>61949.659999999996</v>
      </c>
      <c r="N47" s="45">
        <f t="shared" si="9"/>
        <v>1.937771807626223</v>
      </c>
      <c r="O47" s="45">
        <f t="shared" si="10"/>
        <v>1.5228689207596273</v>
      </c>
      <c r="P47" s="45">
        <f t="shared" si="11"/>
        <v>0.43177246538047276</v>
      </c>
    </row>
    <row r="48" spans="1:16" ht="15.75">
      <c r="A48" s="142" t="s">
        <v>47</v>
      </c>
      <c r="B48" s="118" t="s">
        <v>48</v>
      </c>
      <c r="C48" s="7" t="s">
        <v>28</v>
      </c>
      <c r="D48" s="39"/>
      <c r="E48" s="3">
        <v>4487</v>
      </c>
      <c r="F48" s="3">
        <f>G48</f>
        <v>4487</v>
      </c>
      <c r="G48" s="3">
        <v>4487</v>
      </c>
      <c r="H48" s="39">
        <v>2731.14</v>
      </c>
      <c r="I48" s="39">
        <v>0</v>
      </c>
      <c r="J48" s="8">
        <f t="shared" si="3"/>
        <v>2731.14</v>
      </c>
      <c r="K48" s="8">
        <f t="shared" si="4"/>
        <v>-1755.8600000000001</v>
      </c>
      <c r="L48" s="8">
        <f t="shared" si="5"/>
        <v>-1755.8600000000001</v>
      </c>
      <c r="M48" s="8">
        <f t="shared" si="6"/>
        <v>-4487</v>
      </c>
      <c r="N48" s="45">
        <f t="shared" si="9"/>
      </c>
      <c r="O48" s="45">
        <f t="shared" si="10"/>
        <v>0.6086784042790283</v>
      </c>
      <c r="P48" s="45">
        <f t="shared" si="11"/>
        <v>0.6086784042790283</v>
      </c>
    </row>
    <row r="49" spans="1:16" ht="15.75">
      <c r="A49" s="142"/>
      <c r="B49" s="118"/>
      <c r="C49" s="62" t="s">
        <v>9</v>
      </c>
      <c r="D49" s="30">
        <v>0</v>
      </c>
      <c r="E49" s="63">
        <f>SUM(E48:E48)</f>
        <v>4487</v>
      </c>
      <c r="F49" s="63">
        <f>SUM(F48:F48)</f>
        <v>4487</v>
      </c>
      <c r="G49" s="63">
        <f>SUM(G48:G48)</f>
        <v>4487</v>
      </c>
      <c r="H49" s="63">
        <f>SUM(H48:H48)</f>
        <v>2731.14</v>
      </c>
      <c r="I49" s="63">
        <f>SUM(I48:I48)</f>
        <v>0</v>
      </c>
      <c r="J49" s="64">
        <f t="shared" si="3"/>
        <v>2731.14</v>
      </c>
      <c r="K49" s="64">
        <f t="shared" si="4"/>
        <v>-1755.8600000000001</v>
      </c>
      <c r="L49" s="64">
        <f t="shared" si="5"/>
        <v>-1755.8600000000001</v>
      </c>
      <c r="M49" s="64">
        <f t="shared" si="6"/>
        <v>-4487</v>
      </c>
      <c r="N49" s="45">
        <f t="shared" si="9"/>
      </c>
      <c r="O49" s="45">
        <f t="shared" si="10"/>
        <v>0.6086784042790283</v>
      </c>
      <c r="P49" s="45">
        <f t="shared" si="11"/>
        <v>0.6086784042790283</v>
      </c>
    </row>
    <row r="50" spans="1:16" s="43" customFormat="1" ht="15.75" hidden="1">
      <c r="A50" s="148" t="s">
        <v>50</v>
      </c>
      <c r="B50" s="150" t="s">
        <v>79</v>
      </c>
      <c r="C50" s="87" t="s">
        <v>28</v>
      </c>
      <c r="D50" s="39"/>
      <c r="E50" s="50"/>
      <c r="F50" s="50"/>
      <c r="G50" s="50"/>
      <c r="H50" s="39">
        <v>0</v>
      </c>
      <c r="I50" s="39">
        <v>0</v>
      </c>
      <c r="J50" s="80">
        <f t="shared" si="3"/>
        <v>0</v>
      </c>
      <c r="K50" s="80">
        <f t="shared" si="4"/>
        <v>0</v>
      </c>
      <c r="L50" s="80">
        <f t="shared" si="5"/>
        <v>0</v>
      </c>
      <c r="M50" s="80">
        <f t="shared" si="6"/>
        <v>0</v>
      </c>
      <c r="N50" s="81">
        <f t="shared" si="9"/>
      </c>
      <c r="O50" s="81">
        <f t="shared" si="10"/>
      </c>
      <c r="P50" s="81">
        <f t="shared" si="11"/>
      </c>
    </row>
    <row r="51" spans="1:16" ht="15.75">
      <c r="A51" s="148"/>
      <c r="B51" s="150"/>
      <c r="C51" s="16" t="s">
        <v>89</v>
      </c>
      <c r="D51" s="39">
        <v>113505.11</v>
      </c>
      <c r="E51" s="97">
        <f>537127.7+16130.16</f>
        <v>553257.86</v>
      </c>
      <c r="F51" s="97">
        <f>166934.4+16130.16</f>
        <v>183064.56</v>
      </c>
      <c r="G51" s="3">
        <f>44405.8+16130.16</f>
        <v>60535.96000000001</v>
      </c>
      <c r="H51" s="39">
        <v>168047.23</v>
      </c>
      <c r="I51" s="39">
        <v>23500.190000000002</v>
      </c>
      <c r="J51" s="8">
        <f t="shared" si="3"/>
        <v>54542.12000000001</v>
      </c>
      <c r="K51" s="8">
        <f t="shared" si="4"/>
        <v>-15017.329999999987</v>
      </c>
      <c r="L51" s="8">
        <f t="shared" si="5"/>
        <v>-385210.63</v>
      </c>
      <c r="M51" s="8">
        <f t="shared" si="6"/>
        <v>-37035.770000000004</v>
      </c>
      <c r="N51" s="45">
        <f t="shared" si="9"/>
        <v>1.4805256785355303</v>
      </c>
      <c r="O51" s="45">
        <f t="shared" si="10"/>
        <v>0.9179670275885186</v>
      </c>
      <c r="P51" s="45">
        <f t="shared" si="11"/>
        <v>0.303741242826627</v>
      </c>
    </row>
    <row r="52" spans="1:16" ht="15.75">
      <c r="A52" s="149"/>
      <c r="B52" s="151"/>
      <c r="C52" s="16" t="s">
        <v>83</v>
      </c>
      <c r="D52" s="39">
        <v>80142.24</v>
      </c>
      <c r="E52" s="101">
        <f>354489-4173.5</f>
        <v>350315.5</v>
      </c>
      <c r="F52" s="101">
        <f>123035.2-4173.5</f>
        <v>118861.7</v>
      </c>
      <c r="G52" s="39">
        <f>30213.6-4173.5</f>
        <v>26040.1</v>
      </c>
      <c r="H52" s="39">
        <v>102432.33</v>
      </c>
      <c r="I52" s="39">
        <v>17771.25</v>
      </c>
      <c r="J52" s="17">
        <f t="shared" si="3"/>
        <v>22290.089999999997</v>
      </c>
      <c r="K52" s="17">
        <f t="shared" si="4"/>
        <v>-16429.369999999995</v>
      </c>
      <c r="L52" s="17">
        <f t="shared" si="5"/>
        <v>-247883.16999999998</v>
      </c>
      <c r="M52" s="17">
        <f t="shared" si="6"/>
        <v>-8268.849999999999</v>
      </c>
      <c r="N52" s="45">
        <f t="shared" si="9"/>
        <v>1.278131607002749</v>
      </c>
      <c r="O52" s="45">
        <f t="shared" si="10"/>
        <v>0.8617774270433622</v>
      </c>
      <c r="P52" s="45">
        <f t="shared" si="11"/>
        <v>0.2924002220855201</v>
      </c>
    </row>
    <row r="53" spans="1:16" ht="31.5">
      <c r="A53" s="148"/>
      <c r="B53" s="150"/>
      <c r="C53" s="16" t="s">
        <v>84</v>
      </c>
      <c r="D53" s="39">
        <v>974149.17</v>
      </c>
      <c r="E53" s="98">
        <f>3510723.4+35171.1+96433.35</f>
        <v>3642327.85</v>
      </c>
      <c r="F53" s="98">
        <f>1034102+96433.35</f>
        <v>1130535.35</v>
      </c>
      <c r="G53" s="5">
        <f>287600.5+96433.35</f>
        <v>384033.85</v>
      </c>
      <c r="H53" s="39">
        <v>1055376.85</v>
      </c>
      <c r="I53" s="39">
        <v>157259.18000000002</v>
      </c>
      <c r="J53" s="8">
        <f t="shared" si="3"/>
        <v>81227.68000000005</v>
      </c>
      <c r="K53" s="8">
        <f t="shared" si="4"/>
        <v>-75158.5</v>
      </c>
      <c r="L53" s="8">
        <f t="shared" si="5"/>
        <v>-2586951</v>
      </c>
      <c r="M53" s="8">
        <f t="shared" si="6"/>
        <v>-226774.66999999995</v>
      </c>
      <c r="N53" s="45">
        <f t="shared" si="9"/>
        <v>1.083383205058831</v>
      </c>
      <c r="O53" s="45">
        <f t="shared" si="10"/>
        <v>0.933519548946435</v>
      </c>
      <c r="P53" s="45">
        <f t="shared" si="11"/>
        <v>0.2897533921884599</v>
      </c>
    </row>
    <row r="54" spans="1:16" ht="31.5">
      <c r="A54" s="149"/>
      <c r="B54" s="151"/>
      <c r="C54" s="16" t="s">
        <v>85</v>
      </c>
      <c r="D54" s="39">
        <v>971.5</v>
      </c>
      <c r="E54" s="3"/>
      <c r="F54" s="3">
        <v>0</v>
      </c>
      <c r="G54" s="3"/>
      <c r="H54" s="39">
        <v>400.97</v>
      </c>
      <c r="I54" s="39">
        <v>43.95</v>
      </c>
      <c r="J54" s="8">
        <f t="shared" si="3"/>
        <v>-570.53</v>
      </c>
      <c r="K54" s="8">
        <f t="shared" si="4"/>
        <v>400.97</v>
      </c>
      <c r="L54" s="8">
        <f t="shared" si="5"/>
        <v>400.97</v>
      </c>
      <c r="M54" s="8">
        <f t="shared" si="6"/>
        <v>43.95</v>
      </c>
      <c r="N54" s="45">
        <f t="shared" si="9"/>
        <v>0.41273288728769947</v>
      </c>
      <c r="O54" s="45">
        <f t="shared" si="10"/>
      </c>
      <c r="P54" s="45">
        <f t="shared" si="11"/>
      </c>
    </row>
    <row r="55" spans="1:16" ht="15.75">
      <c r="A55" s="148"/>
      <c r="B55" s="150"/>
      <c r="C55" s="65" t="s">
        <v>9</v>
      </c>
      <c r="D55" s="66">
        <f>SUM(D50:D54)</f>
        <v>1168768.02</v>
      </c>
      <c r="E55" s="66">
        <f>SUM(E50:E54)</f>
        <v>4545901.21</v>
      </c>
      <c r="F55" s="66">
        <f>SUM(F50:F54)</f>
        <v>1432461.61</v>
      </c>
      <c r="G55" s="66">
        <f>SUM(G50:G54)</f>
        <v>470609.91</v>
      </c>
      <c r="H55" s="66">
        <f>SUM(H50:H54)</f>
        <v>1326257.3800000001</v>
      </c>
      <c r="I55" s="66">
        <f>SUM(I50:I54)</f>
        <v>198574.57000000004</v>
      </c>
      <c r="J55" s="66">
        <f t="shared" si="3"/>
        <v>157489.3600000001</v>
      </c>
      <c r="K55" s="66">
        <f t="shared" si="4"/>
        <v>-106204.22999999998</v>
      </c>
      <c r="L55" s="66">
        <f t="shared" si="5"/>
        <v>-3219643.83</v>
      </c>
      <c r="M55" s="66">
        <f t="shared" si="6"/>
        <v>-272035.33999999997</v>
      </c>
      <c r="N55" s="45">
        <f t="shared" si="9"/>
        <v>1.1347481769735623</v>
      </c>
      <c r="O55" s="45">
        <f t="shared" si="10"/>
        <v>0.9258589345371706</v>
      </c>
      <c r="P55" s="45">
        <f t="shared" si="11"/>
        <v>0.29174795463714004</v>
      </c>
    </row>
    <row r="56" spans="1:16" ht="15.75">
      <c r="A56" s="152">
        <v>991</v>
      </c>
      <c r="B56" s="152" t="s">
        <v>52</v>
      </c>
      <c r="C56" s="9" t="s">
        <v>53</v>
      </c>
      <c r="D56" s="40">
        <v>14977.64</v>
      </c>
      <c r="E56" s="5">
        <v>54298.2</v>
      </c>
      <c r="F56" s="5">
        <v>17000</v>
      </c>
      <c r="G56" s="5">
        <v>4500</v>
      </c>
      <c r="H56" s="40">
        <v>15193.66</v>
      </c>
      <c r="I56" s="40">
        <v>1724.1699999999998</v>
      </c>
      <c r="J56" s="5">
        <f t="shared" si="3"/>
        <v>216.02000000000044</v>
      </c>
      <c r="K56" s="5">
        <f t="shared" si="4"/>
        <v>-1806.3400000000001</v>
      </c>
      <c r="L56" s="5">
        <f t="shared" si="5"/>
        <v>-39104.53999999999</v>
      </c>
      <c r="M56" s="5">
        <f t="shared" si="6"/>
        <v>-2775.83</v>
      </c>
      <c r="N56" s="45">
        <f t="shared" si="9"/>
        <v>1.0144228329696803</v>
      </c>
      <c r="O56" s="45">
        <f t="shared" si="10"/>
        <v>0.8937447058823529</v>
      </c>
      <c r="P56" s="45">
        <f t="shared" si="11"/>
        <v>0.27981885219031205</v>
      </c>
    </row>
    <row r="57" spans="1:16" ht="15.75">
      <c r="A57" s="152"/>
      <c r="B57" s="152"/>
      <c r="C57" s="7" t="s">
        <v>54</v>
      </c>
      <c r="D57" s="40">
        <v>1849</v>
      </c>
      <c r="E57" s="5"/>
      <c r="F57" s="5"/>
      <c r="G57" s="5"/>
      <c r="H57" s="40">
        <v>2263.47</v>
      </c>
      <c r="I57" s="40">
        <v>0</v>
      </c>
      <c r="J57" s="5">
        <f t="shared" si="3"/>
        <v>414.4699999999998</v>
      </c>
      <c r="K57" s="5">
        <f t="shared" si="4"/>
        <v>2263.47</v>
      </c>
      <c r="L57" s="5">
        <f t="shared" si="5"/>
        <v>2263.47</v>
      </c>
      <c r="M57" s="5">
        <f t="shared" si="6"/>
        <v>0</v>
      </c>
      <c r="N57" s="48">
        <f t="shared" si="9"/>
        <v>1.2241590048674957</v>
      </c>
      <c r="O57" s="48">
        <f t="shared" si="10"/>
      </c>
      <c r="P57" s="48">
        <f t="shared" si="11"/>
      </c>
    </row>
    <row r="58" spans="1:16" ht="15.75" hidden="1">
      <c r="A58" s="152"/>
      <c r="B58" s="152"/>
      <c r="C58" s="88" t="s">
        <v>55</v>
      </c>
      <c r="D58" s="40"/>
      <c r="E58" s="3"/>
      <c r="F58" s="3"/>
      <c r="G58" s="3"/>
      <c r="H58" s="40">
        <v>0</v>
      </c>
      <c r="I58" s="40">
        <v>0</v>
      </c>
      <c r="J58" s="3">
        <f t="shared" si="3"/>
        <v>0</v>
      </c>
      <c r="K58" s="3">
        <f t="shared" si="4"/>
        <v>0</v>
      </c>
      <c r="L58" s="3">
        <f t="shared" si="5"/>
        <v>0</v>
      </c>
      <c r="M58" s="3">
        <f t="shared" si="6"/>
        <v>0</v>
      </c>
      <c r="N58" s="48">
        <f t="shared" si="9"/>
      </c>
      <c r="O58" s="48">
        <f t="shared" si="10"/>
      </c>
      <c r="P58" s="48">
        <f t="shared" si="11"/>
      </c>
    </row>
    <row r="59" spans="1:16" ht="15.75">
      <c r="A59" s="152"/>
      <c r="B59" s="152"/>
      <c r="C59" s="61" t="s">
        <v>9</v>
      </c>
      <c r="D59" s="30">
        <f>SUM(D56:D58)</f>
        <v>16826.64</v>
      </c>
      <c r="E59" s="30">
        <f>SUM(E56:E58)</f>
        <v>54298.2</v>
      </c>
      <c r="F59" s="30">
        <f>SUM(F56:F58)</f>
        <v>17000</v>
      </c>
      <c r="G59" s="30">
        <f>SUM(G56:G58)</f>
        <v>4500</v>
      </c>
      <c r="H59" s="30">
        <f>SUM(H56:H58)</f>
        <v>17457.13</v>
      </c>
      <c r="I59" s="30">
        <f>SUM(I56:I58)</f>
        <v>1724.1699999999998</v>
      </c>
      <c r="J59" s="30">
        <f t="shared" si="3"/>
        <v>630.4900000000016</v>
      </c>
      <c r="K59" s="30">
        <f t="shared" si="4"/>
        <v>457.130000000001</v>
      </c>
      <c r="L59" s="30">
        <f t="shared" si="5"/>
        <v>-36841.06999999999</v>
      </c>
      <c r="M59" s="30">
        <f t="shared" si="6"/>
        <v>-2775.83</v>
      </c>
      <c r="N59" s="60">
        <f t="shared" si="9"/>
        <v>1.0374697503482573</v>
      </c>
      <c r="O59" s="60">
        <f t="shared" si="10"/>
        <v>1.02689</v>
      </c>
      <c r="P59" s="60">
        <f t="shared" si="11"/>
        <v>0.3215047644304968</v>
      </c>
    </row>
    <row r="60" spans="1:16" ht="15.75">
      <c r="A60" s="142" t="s">
        <v>56</v>
      </c>
      <c r="B60" s="118" t="s">
        <v>57</v>
      </c>
      <c r="C60" s="7" t="s">
        <v>58</v>
      </c>
      <c r="D60" s="40">
        <v>1115.27</v>
      </c>
      <c r="E60" s="5">
        <v>7767.5</v>
      </c>
      <c r="F60" s="5">
        <v>3608.7</v>
      </c>
      <c r="G60" s="5">
        <v>1738.1</v>
      </c>
      <c r="H60" s="38">
        <v>5344.770000000001</v>
      </c>
      <c r="I60" s="38">
        <v>492.74999999999994</v>
      </c>
      <c r="J60" s="5">
        <f t="shared" si="3"/>
        <v>4229.500000000002</v>
      </c>
      <c r="K60" s="5">
        <f t="shared" si="4"/>
        <v>1736.0700000000015</v>
      </c>
      <c r="L60" s="5">
        <f t="shared" si="5"/>
        <v>-2422.7299999999987</v>
      </c>
      <c r="M60" s="5">
        <f t="shared" si="6"/>
        <v>-1245.35</v>
      </c>
      <c r="N60" s="45">
        <f t="shared" si="9"/>
        <v>4.792355214432381</v>
      </c>
      <c r="O60" s="45">
        <f t="shared" si="10"/>
        <v>1.4810790589408933</v>
      </c>
      <c r="P60" s="45">
        <f t="shared" si="11"/>
        <v>0.6880939813324752</v>
      </c>
    </row>
    <row r="61" spans="1:16" ht="15.75">
      <c r="A61" s="142"/>
      <c r="B61" s="118"/>
      <c r="C61" s="61" t="s">
        <v>9</v>
      </c>
      <c r="D61" s="30">
        <f aca="true" t="shared" si="12" ref="D61:J61">D60</f>
        <v>1115.27</v>
      </c>
      <c r="E61" s="30">
        <f t="shared" si="12"/>
        <v>7767.5</v>
      </c>
      <c r="F61" s="30">
        <f t="shared" si="12"/>
        <v>3608.7</v>
      </c>
      <c r="G61" s="30">
        <f t="shared" si="12"/>
        <v>1738.1</v>
      </c>
      <c r="H61" s="30">
        <f t="shared" si="12"/>
        <v>5344.770000000001</v>
      </c>
      <c r="I61" s="30">
        <f t="shared" si="12"/>
        <v>492.74999999999994</v>
      </c>
      <c r="J61" s="68">
        <f t="shared" si="12"/>
        <v>4229.500000000002</v>
      </c>
      <c r="K61" s="68">
        <f t="shared" si="4"/>
        <v>1736.0700000000015</v>
      </c>
      <c r="L61" s="68">
        <f t="shared" si="5"/>
        <v>-2422.7299999999987</v>
      </c>
      <c r="M61" s="68">
        <f t="shared" si="6"/>
        <v>-1245.35</v>
      </c>
      <c r="N61" s="60">
        <f t="shared" si="9"/>
        <v>4.792355214432381</v>
      </c>
      <c r="O61" s="60">
        <f t="shared" si="10"/>
        <v>1.4810790589408933</v>
      </c>
      <c r="P61" s="60">
        <f t="shared" si="11"/>
        <v>0.6880939813324752</v>
      </c>
    </row>
    <row r="62" spans="1:16" ht="15.75" hidden="1">
      <c r="A62" s="114" t="s">
        <v>59</v>
      </c>
      <c r="B62" s="112" t="s">
        <v>60</v>
      </c>
      <c r="C62" s="88" t="s">
        <v>55</v>
      </c>
      <c r="D62" s="39"/>
      <c r="E62" s="5"/>
      <c r="F62" s="5"/>
      <c r="G62" s="5"/>
      <c r="H62" s="17">
        <v>0</v>
      </c>
      <c r="I62" s="17">
        <v>0</v>
      </c>
      <c r="J62" s="5">
        <f aca="true" t="shared" si="13" ref="J62:J86">H62-D62</f>
        <v>0</v>
      </c>
      <c r="K62" s="5">
        <f t="shared" si="4"/>
        <v>0</v>
      </c>
      <c r="L62" s="5">
        <f t="shared" si="5"/>
        <v>0</v>
      </c>
      <c r="M62" s="5">
        <f t="shared" si="6"/>
        <v>0</v>
      </c>
      <c r="N62" s="48">
        <f t="shared" si="9"/>
      </c>
      <c r="O62" s="48">
        <f t="shared" si="10"/>
      </c>
      <c r="P62" s="48">
        <f t="shared" si="11"/>
      </c>
    </row>
    <row r="63" spans="1:16" ht="15.75" hidden="1">
      <c r="A63" s="115"/>
      <c r="B63" s="113"/>
      <c r="C63" s="89" t="s">
        <v>9</v>
      </c>
      <c r="D63" s="30">
        <v>0</v>
      </c>
      <c r="E63" s="66">
        <f>E62</f>
        <v>0</v>
      </c>
      <c r="F63" s="66">
        <f>G63</f>
        <v>0</v>
      </c>
      <c r="G63" s="66">
        <f>G62</f>
        <v>0</v>
      </c>
      <c r="H63" s="66">
        <v>0</v>
      </c>
      <c r="I63" s="66">
        <v>0</v>
      </c>
      <c r="J63" s="82">
        <f t="shared" si="13"/>
        <v>0</v>
      </c>
      <c r="K63" s="82">
        <f t="shared" si="4"/>
        <v>0</v>
      </c>
      <c r="L63" s="82">
        <f t="shared" si="5"/>
        <v>0</v>
      </c>
      <c r="M63" s="82">
        <f t="shared" si="6"/>
        <v>0</v>
      </c>
      <c r="N63" s="48">
        <f t="shared" si="9"/>
      </c>
      <c r="O63" s="48">
        <f t="shared" si="10"/>
      </c>
      <c r="P63" s="48">
        <f t="shared" si="11"/>
      </c>
    </row>
    <row r="64" spans="1:16" ht="15.75">
      <c r="A64" s="118"/>
      <c r="B64" s="118" t="s">
        <v>61</v>
      </c>
      <c r="C64" s="10" t="s">
        <v>62</v>
      </c>
      <c r="D64" s="40">
        <v>288.61</v>
      </c>
      <c r="E64" s="5">
        <v>41.2</v>
      </c>
      <c r="F64" s="5">
        <v>35.6</v>
      </c>
      <c r="G64" s="5">
        <v>8.9</v>
      </c>
      <c r="H64" s="38">
        <v>72.45</v>
      </c>
      <c r="I64" s="38">
        <v>10.61</v>
      </c>
      <c r="J64" s="5">
        <f t="shared" si="13"/>
        <v>-216.16000000000003</v>
      </c>
      <c r="K64" s="5">
        <f t="shared" si="4"/>
        <v>36.85</v>
      </c>
      <c r="L64" s="5">
        <f t="shared" si="5"/>
        <v>31.25</v>
      </c>
      <c r="M64" s="5">
        <f t="shared" si="6"/>
        <v>1.709999999999999</v>
      </c>
      <c r="N64" s="45">
        <f t="shared" si="9"/>
        <v>0.25103080281348533</v>
      </c>
      <c r="O64" s="45">
        <f t="shared" si="10"/>
        <v>2.0351123595505616</v>
      </c>
      <c r="P64" s="45">
        <f t="shared" si="11"/>
        <v>1.758495145631068</v>
      </c>
    </row>
    <row r="65" spans="1:16" ht="15.75">
      <c r="A65" s="119"/>
      <c r="B65" s="119"/>
      <c r="C65" s="7" t="s">
        <v>100</v>
      </c>
      <c r="D65" s="18">
        <v>42.99</v>
      </c>
      <c r="E65" s="18">
        <v>47.1</v>
      </c>
      <c r="F65" s="18">
        <v>47.1</v>
      </c>
      <c r="G65" s="18">
        <v>0</v>
      </c>
      <c r="H65" s="42">
        <v>7.77000000000001</v>
      </c>
      <c r="I65" s="42">
        <v>0</v>
      </c>
      <c r="J65" s="18">
        <f t="shared" si="13"/>
        <v>-35.21999999999999</v>
      </c>
      <c r="K65" s="18">
        <f t="shared" si="4"/>
        <v>-39.32999999999999</v>
      </c>
      <c r="L65" s="18">
        <f t="shared" si="5"/>
        <v>-39.32999999999999</v>
      </c>
      <c r="M65" s="18">
        <f t="shared" si="6"/>
        <v>0</v>
      </c>
      <c r="N65" s="45">
        <f t="shared" si="9"/>
        <v>0.18073970690858362</v>
      </c>
      <c r="O65" s="45">
        <f t="shared" si="10"/>
        <v>0.16496815286624225</v>
      </c>
      <c r="P65" s="45">
        <f t="shared" si="11"/>
        <v>0.16496815286624225</v>
      </c>
    </row>
    <row r="66" spans="1:16" ht="15.75">
      <c r="A66" s="118"/>
      <c r="B66" s="118"/>
      <c r="C66" s="7" t="s">
        <v>28</v>
      </c>
      <c r="D66" s="40">
        <v>9531</v>
      </c>
      <c r="E66" s="5">
        <v>6100</v>
      </c>
      <c r="F66" s="5">
        <f>G66</f>
        <v>6100</v>
      </c>
      <c r="G66" s="5">
        <v>6100</v>
      </c>
      <c r="H66" s="38">
        <v>0</v>
      </c>
      <c r="I66" s="38">
        <v>0</v>
      </c>
      <c r="J66" s="5">
        <f t="shared" si="13"/>
        <v>-9531</v>
      </c>
      <c r="K66" s="5">
        <f t="shared" si="4"/>
        <v>-6100</v>
      </c>
      <c r="L66" s="5">
        <f t="shared" si="5"/>
        <v>-6100</v>
      </c>
      <c r="M66" s="5">
        <f t="shared" si="6"/>
        <v>-6100</v>
      </c>
      <c r="N66" s="45">
        <f t="shared" si="9"/>
        <v>0</v>
      </c>
      <c r="O66" s="45">
        <f t="shared" si="10"/>
        <v>0</v>
      </c>
      <c r="P66" s="45">
        <f t="shared" si="11"/>
        <v>0</v>
      </c>
    </row>
    <row r="67" spans="1:16" ht="31.5">
      <c r="A67" s="118"/>
      <c r="B67" s="118"/>
      <c r="C67" s="7" t="s">
        <v>49</v>
      </c>
      <c r="D67" s="40">
        <v>5206.890000000014</v>
      </c>
      <c r="E67" s="3">
        <v>680.5</v>
      </c>
      <c r="F67" s="3">
        <v>210</v>
      </c>
      <c r="G67" s="3">
        <v>60</v>
      </c>
      <c r="H67" s="40">
        <v>19749.360000000375</v>
      </c>
      <c r="I67" s="40">
        <v>6780.600000000088</v>
      </c>
      <c r="J67" s="3">
        <f t="shared" si="13"/>
        <v>14542.470000000361</v>
      </c>
      <c r="K67" s="3">
        <f t="shared" si="4"/>
        <v>19539.360000000375</v>
      </c>
      <c r="L67" s="3">
        <f t="shared" si="5"/>
        <v>19068.860000000375</v>
      </c>
      <c r="M67" s="3">
        <f t="shared" si="6"/>
        <v>6720.600000000088</v>
      </c>
      <c r="N67" s="45">
        <f t="shared" si="9"/>
        <v>3.792928216267354</v>
      </c>
      <c r="O67" s="45">
        <f t="shared" si="10"/>
        <v>94.04457142857322</v>
      </c>
      <c r="P67" s="45">
        <f t="shared" si="11"/>
        <v>29.021836884644195</v>
      </c>
    </row>
    <row r="68" spans="1:16" ht="15.75">
      <c r="A68" s="118"/>
      <c r="B68" s="118"/>
      <c r="C68" s="7" t="s">
        <v>51</v>
      </c>
      <c r="D68" s="39">
        <v>28625.529999999988</v>
      </c>
      <c r="E68" s="3">
        <f>86939.9+8662.9</f>
        <v>95602.79999999999</v>
      </c>
      <c r="F68" s="3">
        <v>26075.2</v>
      </c>
      <c r="G68" s="3">
        <v>6682.9</v>
      </c>
      <c r="H68" s="101">
        <v>27640.539999999986</v>
      </c>
      <c r="I68" s="101">
        <v>4330.490000000001</v>
      </c>
      <c r="J68" s="3">
        <f t="shared" si="13"/>
        <v>-984.9900000000016</v>
      </c>
      <c r="K68" s="3">
        <f t="shared" si="4"/>
        <v>1565.3399999999856</v>
      </c>
      <c r="L68" s="3">
        <f t="shared" si="5"/>
        <v>-67962.26000000001</v>
      </c>
      <c r="M68" s="3">
        <f t="shared" si="6"/>
        <v>-2352.409999999999</v>
      </c>
      <c r="N68" s="45">
        <f t="shared" si="9"/>
        <v>0.9655905060971797</v>
      </c>
      <c r="O68" s="45">
        <f t="shared" si="10"/>
        <v>1.0600317543106088</v>
      </c>
      <c r="P68" s="45">
        <f t="shared" si="11"/>
        <v>0.28911851954126855</v>
      </c>
    </row>
    <row r="69" spans="1:16" ht="15.75">
      <c r="A69" s="118"/>
      <c r="B69" s="118"/>
      <c r="C69" s="7" t="s">
        <v>63</v>
      </c>
      <c r="D69" s="39">
        <v>70.4</v>
      </c>
      <c r="E69" s="3"/>
      <c r="F69" s="3"/>
      <c r="G69" s="3"/>
      <c r="H69" s="101">
        <v>-5879.14</v>
      </c>
      <c r="I69" s="101">
        <v>-222.5</v>
      </c>
      <c r="J69" s="3">
        <f t="shared" si="13"/>
        <v>-5949.54</v>
      </c>
      <c r="K69" s="3">
        <f t="shared" si="4"/>
        <v>-5879.14</v>
      </c>
      <c r="L69" s="3">
        <f t="shared" si="5"/>
        <v>-5879.14</v>
      </c>
      <c r="M69" s="3">
        <f t="shared" si="6"/>
        <v>-222.5</v>
      </c>
      <c r="N69" s="45">
        <f aca="true" t="shared" si="14" ref="N69:N85">_xlfn.IFERROR(H69/D69,"")</f>
        <v>-83.51051136363637</v>
      </c>
      <c r="O69" s="45">
        <f aca="true" t="shared" si="15" ref="O69:O86">_xlfn.IFERROR(H69/F69,"")</f>
      </c>
      <c r="P69" s="45">
        <f aca="true" t="shared" si="16" ref="P69:P86">_xlfn.IFERROR(H69/E69,"")</f>
      </c>
    </row>
    <row r="70" spans="1:16" ht="15.75">
      <c r="A70" s="118"/>
      <c r="B70" s="118"/>
      <c r="C70" s="7" t="s">
        <v>40</v>
      </c>
      <c r="D70" s="39">
        <f>7199.07+48.38</f>
        <v>7247.45</v>
      </c>
      <c r="E70" s="3">
        <v>16333.1</v>
      </c>
      <c r="F70" s="3">
        <v>1950</v>
      </c>
      <c r="G70" s="3">
        <v>950</v>
      </c>
      <c r="H70" s="101">
        <v>24032.459999999995</v>
      </c>
      <c r="I70" s="101">
        <v>4830.280000000001</v>
      </c>
      <c r="J70" s="3">
        <f t="shared" si="13"/>
        <v>16785.009999999995</v>
      </c>
      <c r="K70" s="3">
        <f aca="true" t="shared" si="17" ref="K70:K86">H70-F70</f>
        <v>22082.459999999995</v>
      </c>
      <c r="L70" s="3">
        <f aca="true" t="shared" si="18" ref="L70:L86">H70-E70</f>
        <v>7699.359999999995</v>
      </c>
      <c r="M70" s="3">
        <f aca="true" t="shared" si="19" ref="M70:M85">I70-G70</f>
        <v>3880.2800000000007</v>
      </c>
      <c r="N70" s="45">
        <f t="shared" si="14"/>
        <v>3.3159883821206075</v>
      </c>
      <c r="O70" s="45">
        <f t="shared" si="15"/>
        <v>12.32433846153846</v>
      </c>
      <c r="P70" s="45">
        <f t="shared" si="16"/>
        <v>1.471396121985416</v>
      </c>
    </row>
    <row r="71" spans="1:16" ht="15.75">
      <c r="A71" s="120"/>
      <c r="B71" s="120"/>
      <c r="C71" s="7" t="s">
        <v>102</v>
      </c>
      <c r="D71" s="39">
        <v>1777.71</v>
      </c>
      <c r="E71" s="3">
        <v>0</v>
      </c>
      <c r="F71" s="3">
        <f>G71</f>
        <v>0</v>
      </c>
      <c r="G71" s="3">
        <v>0</v>
      </c>
      <c r="H71" s="101">
        <v>795.93</v>
      </c>
      <c r="I71" s="101">
        <v>422.35</v>
      </c>
      <c r="J71" s="3">
        <f t="shared" si="13"/>
        <v>-981.7800000000001</v>
      </c>
      <c r="K71" s="3">
        <f t="shared" si="17"/>
        <v>795.93</v>
      </c>
      <c r="L71" s="3">
        <f t="shared" si="18"/>
        <v>795.93</v>
      </c>
      <c r="M71" s="3">
        <f t="shared" si="19"/>
        <v>422.35</v>
      </c>
      <c r="N71" s="45">
        <f t="shared" si="14"/>
        <v>0.44772769461835726</v>
      </c>
      <c r="O71" s="45">
        <f t="shared" si="15"/>
      </c>
      <c r="P71" s="45">
        <f t="shared" si="16"/>
      </c>
    </row>
    <row r="72" spans="1:16" ht="15.75">
      <c r="A72" s="118"/>
      <c r="B72" s="118"/>
      <c r="C72" s="61" t="s">
        <v>64</v>
      </c>
      <c r="D72" s="30">
        <f>SUM(D64:D71)</f>
        <v>52790.58</v>
      </c>
      <c r="E72" s="30">
        <f>SUM(E64:E71)</f>
        <v>118804.7</v>
      </c>
      <c r="F72" s="30">
        <f>SUM(F64:F71)</f>
        <v>34417.9</v>
      </c>
      <c r="G72" s="30">
        <f>SUM(G64:G71)</f>
        <v>13801.8</v>
      </c>
      <c r="H72" s="30">
        <f>SUM(H64:H71)</f>
        <v>66419.37000000034</v>
      </c>
      <c r="I72" s="30">
        <f>SUM(I64:I71)</f>
        <v>16151.830000000089</v>
      </c>
      <c r="J72" s="68">
        <f t="shared" si="13"/>
        <v>13628.790000000343</v>
      </c>
      <c r="K72" s="68">
        <f t="shared" si="17"/>
        <v>32001.470000000343</v>
      </c>
      <c r="L72" s="68">
        <f t="shared" si="18"/>
        <v>-52385.32999999965</v>
      </c>
      <c r="M72" s="68">
        <f t="shared" si="19"/>
        <v>2350.03000000009</v>
      </c>
      <c r="N72" s="60">
        <f t="shared" si="14"/>
        <v>1.2581670820816961</v>
      </c>
      <c r="O72" s="60">
        <f t="shared" si="15"/>
        <v>1.929791474784933</v>
      </c>
      <c r="P72" s="60">
        <f t="shared" si="16"/>
        <v>0.559063488229004</v>
      </c>
    </row>
    <row r="73" spans="1:19" ht="25.5" customHeight="1">
      <c r="A73" s="121" t="s">
        <v>65</v>
      </c>
      <c r="B73" s="121"/>
      <c r="C73" s="121"/>
      <c r="D73" s="69">
        <f>D5+D22</f>
        <v>5725702.390000001</v>
      </c>
      <c r="E73" s="106">
        <f>E5+E22</f>
        <v>26226995.930000003</v>
      </c>
      <c r="F73" s="69">
        <f>F5+F22</f>
        <v>5461196.109999999</v>
      </c>
      <c r="G73" s="69">
        <f>G5+G22</f>
        <v>459647.41000000003</v>
      </c>
      <c r="H73" s="69">
        <f>H5+H22</f>
        <v>4678685.720000001</v>
      </c>
      <c r="I73" s="69">
        <f>I5+I22</f>
        <v>365404.29000000015</v>
      </c>
      <c r="J73" s="70">
        <f t="shared" si="13"/>
        <v>-1047016.6699999999</v>
      </c>
      <c r="K73" s="70">
        <f t="shared" si="17"/>
        <v>-782510.3899999987</v>
      </c>
      <c r="L73" s="70">
        <f t="shared" si="18"/>
        <v>-21548310.21</v>
      </c>
      <c r="M73" s="70">
        <f t="shared" si="19"/>
        <v>-94243.11999999988</v>
      </c>
      <c r="N73" s="71">
        <f t="shared" si="14"/>
        <v>0.8171374272213964</v>
      </c>
      <c r="O73" s="71">
        <f t="shared" si="15"/>
        <v>0.8567144679959133</v>
      </c>
      <c r="P73" s="71">
        <f t="shared" si="16"/>
        <v>0.1783919794888991</v>
      </c>
      <c r="R73" s="74"/>
      <c r="S73" s="83"/>
    </row>
    <row r="74" spans="1:16" ht="15.75" hidden="1">
      <c r="A74" s="122" t="s">
        <v>81</v>
      </c>
      <c r="B74" s="123"/>
      <c r="C74" s="124"/>
      <c r="D74" s="69">
        <v>3770698.64</v>
      </c>
      <c r="E74" s="69">
        <f>E73-E53-E51-E52</f>
        <v>21681094.720000003</v>
      </c>
      <c r="F74" s="69">
        <f>G74</f>
        <v>-10962.499999999949</v>
      </c>
      <c r="G74" s="69">
        <f>G73-G53-G51-G52</f>
        <v>-10962.499999999949</v>
      </c>
      <c r="H74" s="69">
        <v>3351520.75</v>
      </c>
      <c r="I74" s="69">
        <v>165565.11000000007</v>
      </c>
      <c r="J74" s="69">
        <f t="shared" si="13"/>
        <v>-419177.89000000013</v>
      </c>
      <c r="K74" s="69">
        <f t="shared" si="17"/>
        <v>3362483.25</v>
      </c>
      <c r="L74" s="69">
        <f t="shared" si="18"/>
        <v>-18329573.970000003</v>
      </c>
      <c r="M74" s="69">
        <f t="shared" si="19"/>
        <v>176527.61000000002</v>
      </c>
      <c r="N74" s="84">
        <f t="shared" si="14"/>
        <v>0.8888328317852524</v>
      </c>
      <c r="O74" s="84">
        <f t="shared" si="15"/>
        <v>-305.7259521094655</v>
      </c>
      <c r="P74" s="84">
        <f t="shared" si="16"/>
        <v>0.1545826349307144</v>
      </c>
    </row>
    <row r="75" spans="1:16" ht="33" customHeight="1">
      <c r="A75" s="125"/>
      <c r="B75" s="128"/>
      <c r="C75" s="54" t="s">
        <v>66</v>
      </c>
      <c r="D75" s="91">
        <f aca="true" t="shared" si="20" ref="D75:I75">SUM(D76:D84)</f>
        <v>5100153.529999999</v>
      </c>
      <c r="E75" s="52">
        <f t="shared" si="20"/>
        <v>24219620.78</v>
      </c>
      <c r="F75" s="52">
        <f t="shared" si="20"/>
        <v>5176788.8100000005</v>
      </c>
      <c r="G75" s="52">
        <f t="shared" si="20"/>
        <v>1225161.5499999998</v>
      </c>
      <c r="H75" s="52">
        <f t="shared" si="20"/>
        <v>4979785.33</v>
      </c>
      <c r="I75" s="52">
        <f t="shared" si="20"/>
        <v>1149239.9199999997</v>
      </c>
      <c r="J75" s="55">
        <f t="shared" si="13"/>
        <v>-120368.19999999925</v>
      </c>
      <c r="K75" s="55">
        <f t="shared" si="17"/>
        <v>-197003.48000000045</v>
      </c>
      <c r="L75" s="55">
        <f t="shared" si="18"/>
        <v>-19239835.450000003</v>
      </c>
      <c r="M75" s="55">
        <f t="shared" si="19"/>
        <v>-75921.63000000012</v>
      </c>
      <c r="N75" s="56">
        <f t="shared" si="14"/>
        <v>0.976399102636426</v>
      </c>
      <c r="O75" s="56">
        <f t="shared" si="15"/>
        <v>0.9619448489728905</v>
      </c>
      <c r="P75" s="56">
        <f t="shared" si="16"/>
        <v>0.20560955001046882</v>
      </c>
    </row>
    <row r="76" spans="1:16" ht="31.5">
      <c r="A76" s="125"/>
      <c r="B76" s="128"/>
      <c r="C76" s="19" t="s">
        <v>67</v>
      </c>
      <c r="D76" s="39">
        <v>539943.4</v>
      </c>
      <c r="E76" s="19">
        <v>384548</v>
      </c>
      <c r="F76" s="3">
        <f>288577.9</f>
        <v>288577.9</v>
      </c>
      <c r="G76" s="3">
        <v>0</v>
      </c>
      <c r="H76" s="108">
        <v>288577.9</v>
      </c>
      <c r="I76" s="108">
        <v>0</v>
      </c>
      <c r="J76" s="3">
        <f aca="true" t="shared" si="21" ref="J76:J82">H76-D76</f>
        <v>-251365.5</v>
      </c>
      <c r="K76" s="3">
        <f>H76-F76</f>
        <v>0</v>
      </c>
      <c r="L76" s="3">
        <f>H76-E76</f>
        <v>-95970.09999999998</v>
      </c>
      <c r="M76" s="3">
        <f>I76-G76</f>
        <v>0</v>
      </c>
      <c r="N76" s="46">
        <f t="shared" si="14"/>
        <v>0.5344595377959986</v>
      </c>
      <c r="O76" s="46">
        <f t="shared" si="15"/>
        <v>1</v>
      </c>
      <c r="P76" s="46">
        <f t="shared" si="16"/>
        <v>0.7504340160396102</v>
      </c>
    </row>
    <row r="77" spans="1:16" ht="31.5">
      <c r="A77" s="125"/>
      <c r="B77" s="128"/>
      <c r="C77" s="20" t="s">
        <v>68</v>
      </c>
      <c r="D77" s="39">
        <v>412430.42000000004</v>
      </c>
      <c r="E77" s="96">
        <v>6534340.88</v>
      </c>
      <c r="F77" s="3">
        <v>329097.09</v>
      </c>
      <c r="G77" s="39">
        <v>22360.82</v>
      </c>
      <c r="H77" s="108">
        <v>329097.09</v>
      </c>
      <c r="I77" s="108">
        <v>22360.82</v>
      </c>
      <c r="J77" s="3">
        <f t="shared" si="21"/>
        <v>-83333.33000000002</v>
      </c>
      <c r="K77" s="97">
        <f>H77-F77</f>
        <v>0</v>
      </c>
      <c r="L77" s="3">
        <f>H77-E77</f>
        <v>-6205243.79</v>
      </c>
      <c r="M77" s="3">
        <f>I77-G77</f>
        <v>0</v>
      </c>
      <c r="N77" s="46">
        <f t="shared" si="14"/>
        <v>0.7979457237902092</v>
      </c>
      <c r="O77" s="46">
        <f t="shared" si="15"/>
        <v>1</v>
      </c>
      <c r="P77" s="46">
        <f t="shared" si="16"/>
        <v>0.050364236583874095</v>
      </c>
    </row>
    <row r="78" spans="1:16" ht="31.5">
      <c r="A78" s="125"/>
      <c r="B78" s="128"/>
      <c r="C78" s="20" t="s">
        <v>69</v>
      </c>
      <c r="D78" s="39">
        <v>3319345.91</v>
      </c>
      <c r="E78" s="96">
        <v>11845941.55</v>
      </c>
      <c r="F78" s="3">
        <v>3179714.3200000008</v>
      </c>
      <c r="G78" s="39">
        <v>1052735.9299999997</v>
      </c>
      <c r="H78" s="108">
        <v>3179714.3200000008</v>
      </c>
      <c r="I78" s="108">
        <v>1052735.9299999997</v>
      </c>
      <c r="J78" s="3">
        <f t="shared" si="21"/>
        <v>-139631.58999999939</v>
      </c>
      <c r="K78" s="97">
        <f>H78-F78</f>
        <v>0</v>
      </c>
      <c r="L78" s="3">
        <f t="shared" si="18"/>
        <v>-8666227.23</v>
      </c>
      <c r="M78" s="3">
        <f>I78-G78</f>
        <v>0</v>
      </c>
      <c r="N78" s="46">
        <f t="shared" si="14"/>
        <v>0.9579340045340441</v>
      </c>
      <c r="O78" s="46">
        <f t="shared" si="15"/>
        <v>1</v>
      </c>
      <c r="P78" s="46">
        <f t="shared" si="16"/>
        <v>0.26842225302048706</v>
      </c>
    </row>
    <row r="79" spans="1:16" ht="15.75">
      <c r="A79" s="125"/>
      <c r="B79" s="128"/>
      <c r="C79" s="9" t="s">
        <v>70</v>
      </c>
      <c r="D79" s="39">
        <v>842349.3799999999</v>
      </c>
      <c r="E79" s="96">
        <v>5446783.48</v>
      </c>
      <c r="F79" s="3">
        <v>1371392.63</v>
      </c>
      <c r="G79" s="3">
        <v>150064.8</v>
      </c>
      <c r="H79" s="101">
        <v>1295377.6300000001</v>
      </c>
      <c r="I79" s="101">
        <v>74049.85</v>
      </c>
      <c r="J79" s="3">
        <f t="shared" si="21"/>
        <v>453028.25000000023</v>
      </c>
      <c r="K79" s="3">
        <f>H79-F79</f>
        <v>-76014.99999999977</v>
      </c>
      <c r="L79" s="3">
        <f t="shared" si="18"/>
        <v>-4151405.8500000006</v>
      </c>
      <c r="M79" s="3">
        <f t="shared" si="19"/>
        <v>-76014.94999999998</v>
      </c>
      <c r="N79" s="46">
        <f t="shared" si="14"/>
        <v>1.537815140316243</v>
      </c>
      <c r="O79" s="46">
        <f t="shared" si="15"/>
        <v>0.9445709431878748</v>
      </c>
      <c r="P79" s="46">
        <f t="shared" si="16"/>
        <v>0.2378243296720875</v>
      </c>
    </row>
    <row r="80" spans="1:16" ht="47.25">
      <c r="A80" s="126"/>
      <c r="B80" s="129"/>
      <c r="C80" s="9" t="s">
        <v>87</v>
      </c>
      <c r="D80" s="39">
        <v>4.06</v>
      </c>
      <c r="E80" s="97"/>
      <c r="F80" s="3">
        <f>G80</f>
        <v>0</v>
      </c>
      <c r="G80" s="3"/>
      <c r="H80" s="101">
        <v>387.89</v>
      </c>
      <c r="I80" s="101">
        <v>0</v>
      </c>
      <c r="J80" s="3">
        <f t="shared" si="21"/>
        <v>383.83</v>
      </c>
      <c r="K80" s="3">
        <f>H80-F80</f>
        <v>387.89</v>
      </c>
      <c r="L80" s="3">
        <f t="shared" si="18"/>
        <v>387.89</v>
      </c>
      <c r="M80" s="3">
        <f t="shared" si="19"/>
        <v>0</v>
      </c>
      <c r="N80" s="47">
        <f>_xlfn.IFERROR(H80/D80,"")</f>
        <v>95.53940886699507</v>
      </c>
      <c r="O80" s="47">
        <f t="shared" si="15"/>
      </c>
      <c r="P80" s="47">
        <f t="shared" si="16"/>
      </c>
    </row>
    <row r="81" spans="1:16" ht="31.5">
      <c r="A81" s="125"/>
      <c r="B81" s="128"/>
      <c r="C81" s="33" t="s">
        <v>71</v>
      </c>
      <c r="D81" s="39">
        <v>0</v>
      </c>
      <c r="E81" s="97"/>
      <c r="F81" s="3"/>
      <c r="G81" s="3"/>
      <c r="H81" s="101">
        <v>0</v>
      </c>
      <c r="I81" s="101">
        <v>0</v>
      </c>
      <c r="J81" s="3">
        <f t="shared" si="21"/>
        <v>0</v>
      </c>
      <c r="K81" s="3">
        <f>H81-F81</f>
        <v>0</v>
      </c>
      <c r="L81" s="3">
        <f>H81-E81</f>
        <v>0</v>
      </c>
      <c r="M81" s="3">
        <f t="shared" si="19"/>
        <v>0</v>
      </c>
      <c r="N81" s="46">
        <f t="shared" si="14"/>
      </c>
      <c r="O81" s="46">
        <f t="shared" si="15"/>
      </c>
      <c r="P81" s="46">
        <f t="shared" si="16"/>
      </c>
    </row>
    <row r="82" spans="1:16" s="43" customFormat="1" ht="110.25">
      <c r="A82" s="127"/>
      <c r="B82" s="130"/>
      <c r="C82" s="33" t="s">
        <v>90</v>
      </c>
      <c r="D82" s="39"/>
      <c r="E82" s="85"/>
      <c r="F82" s="85"/>
      <c r="G82" s="85"/>
      <c r="H82" s="39">
        <v>68.69</v>
      </c>
      <c r="I82" s="39">
        <v>68.69</v>
      </c>
      <c r="J82" s="3">
        <f t="shared" si="21"/>
        <v>68.69</v>
      </c>
      <c r="K82" s="3">
        <f>H82-F82</f>
        <v>68.69</v>
      </c>
      <c r="L82" s="3">
        <f>H82-E82</f>
        <v>68.69</v>
      </c>
      <c r="M82" s="3">
        <f t="shared" si="19"/>
        <v>68.69</v>
      </c>
      <c r="N82" s="47">
        <f t="shared" si="14"/>
      </c>
      <c r="O82" s="47">
        <f t="shared" si="15"/>
      </c>
      <c r="P82" s="47">
        <f t="shared" si="16"/>
      </c>
    </row>
    <row r="83" spans="1:16" ht="47.25">
      <c r="A83" s="125"/>
      <c r="B83" s="128"/>
      <c r="C83" s="7" t="s">
        <v>72</v>
      </c>
      <c r="D83" s="39">
        <v>322904.97000000003</v>
      </c>
      <c r="E83" s="98">
        <v>8006.87</v>
      </c>
      <c r="F83" s="5">
        <v>8006.87</v>
      </c>
      <c r="G83" s="5">
        <v>0</v>
      </c>
      <c r="H83" s="101">
        <v>159777.43000000002</v>
      </c>
      <c r="I83" s="101">
        <v>24.67</v>
      </c>
      <c r="J83" s="3">
        <f t="shared" si="13"/>
        <v>-163127.54</v>
      </c>
      <c r="K83" s="3">
        <f t="shared" si="17"/>
        <v>151770.56000000003</v>
      </c>
      <c r="L83" s="3">
        <f t="shared" si="18"/>
        <v>151770.56000000003</v>
      </c>
      <c r="M83" s="3">
        <f t="shared" si="19"/>
        <v>24.67</v>
      </c>
      <c r="N83" s="46">
        <f t="shared" si="14"/>
        <v>0.49481254500356564</v>
      </c>
      <c r="O83" s="46">
        <f t="shared" si="15"/>
        <v>19.955042357375607</v>
      </c>
      <c r="P83" s="46">
        <f t="shared" si="16"/>
        <v>19.955042357375607</v>
      </c>
    </row>
    <row r="84" spans="1:16" ht="15.75">
      <c r="A84" s="125"/>
      <c r="B84" s="128"/>
      <c r="C84" s="7" t="s">
        <v>73</v>
      </c>
      <c r="D84" s="39">
        <v>-336824.6099999999</v>
      </c>
      <c r="E84" s="97"/>
      <c r="F84" s="3"/>
      <c r="G84" s="3"/>
      <c r="H84" s="101">
        <v>-273215.62</v>
      </c>
      <c r="I84" s="101">
        <v>-0.04</v>
      </c>
      <c r="J84" s="3">
        <f t="shared" si="13"/>
        <v>63608.98999999993</v>
      </c>
      <c r="K84" s="3">
        <f t="shared" si="17"/>
        <v>-273215.62</v>
      </c>
      <c r="L84" s="3">
        <f t="shared" si="18"/>
        <v>-273215.62</v>
      </c>
      <c r="M84" s="3">
        <f t="shared" si="19"/>
        <v>-0.04</v>
      </c>
      <c r="N84" s="46">
        <f t="shared" si="14"/>
        <v>0.8111510022976054</v>
      </c>
      <c r="O84" s="46">
        <f t="shared" si="15"/>
      </c>
      <c r="P84" s="46">
        <f t="shared" si="16"/>
      </c>
    </row>
    <row r="85" spans="1:16" ht="29.25" customHeight="1">
      <c r="A85" s="116" t="s">
        <v>74</v>
      </c>
      <c r="B85" s="116"/>
      <c r="C85" s="116"/>
      <c r="D85" s="90">
        <f>D73+D75</f>
        <v>10825855.92</v>
      </c>
      <c r="E85" s="99">
        <f>E73+E75</f>
        <v>50446616.71000001</v>
      </c>
      <c r="F85" s="72">
        <f>F73+F75</f>
        <v>10637984.92</v>
      </c>
      <c r="G85" s="72">
        <f>G73+G75</f>
        <v>1684808.96</v>
      </c>
      <c r="H85" s="72">
        <f>H73+H75</f>
        <v>9658471.05</v>
      </c>
      <c r="I85" s="72">
        <f>I73+I75</f>
        <v>1514644.21</v>
      </c>
      <c r="J85" s="72">
        <f>J73+J75</f>
        <v>-1167384.8699999992</v>
      </c>
      <c r="K85" s="49">
        <f t="shared" si="17"/>
        <v>-979513.8699999992</v>
      </c>
      <c r="L85" s="49">
        <f t="shared" si="18"/>
        <v>-40788145.66000001</v>
      </c>
      <c r="M85" s="49">
        <f t="shared" si="19"/>
        <v>-170164.75</v>
      </c>
      <c r="N85" s="71">
        <f t="shared" si="14"/>
        <v>0.8921669678012859</v>
      </c>
      <c r="O85" s="71">
        <f t="shared" si="15"/>
        <v>0.9079229875426446</v>
      </c>
      <c r="P85" s="71">
        <f t="shared" si="16"/>
        <v>0.19145924305535056</v>
      </c>
    </row>
    <row r="86" spans="1:16" ht="15.75" hidden="1">
      <c r="A86" s="117" t="s">
        <v>81</v>
      </c>
      <c r="B86" s="117"/>
      <c r="C86" s="117"/>
      <c r="D86" s="49">
        <v>6683833.650000001</v>
      </c>
      <c r="E86" s="49">
        <f>E85-E53-E52-E51</f>
        <v>45900715.50000001</v>
      </c>
      <c r="F86" s="49">
        <f>G86</f>
        <v>1214199.0499999998</v>
      </c>
      <c r="G86" s="49">
        <f>G85-G53-G52-G51</f>
        <v>1214199.0499999998</v>
      </c>
      <c r="H86" s="49">
        <v>7008743.46</v>
      </c>
      <c r="I86" s="49">
        <v>4118598.0600000015</v>
      </c>
      <c r="J86" s="49">
        <f t="shared" si="13"/>
        <v>324909.80999999866</v>
      </c>
      <c r="K86" s="49">
        <f t="shared" si="17"/>
        <v>5794544.41</v>
      </c>
      <c r="L86" s="49">
        <f t="shared" si="18"/>
        <v>-38891972.04000001</v>
      </c>
      <c r="M86" s="49">
        <f>H86-G86</f>
        <v>5794544.41</v>
      </c>
      <c r="N86" s="84">
        <f>H86/D86</f>
        <v>1.048611295106065</v>
      </c>
      <c r="O86" s="84">
        <f t="shared" si="15"/>
        <v>5.772318352579835</v>
      </c>
      <c r="P86" s="47">
        <f t="shared" si="16"/>
        <v>0.15269355572463786</v>
      </c>
    </row>
    <row r="87" spans="1:16" ht="15.75">
      <c r="A87" s="21" t="s">
        <v>75</v>
      </c>
      <c r="B87" s="22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6"/>
      <c r="P87" s="25"/>
    </row>
    <row r="88" ht="12.75">
      <c r="D88" s="73"/>
    </row>
  </sheetData>
  <sheetProtection/>
  <autoFilter ref="A4:P88"/>
  <mergeCells count="39">
    <mergeCell ref="A27:A29"/>
    <mergeCell ref="B27:B29"/>
    <mergeCell ref="H3:I3"/>
    <mergeCell ref="J3:M3"/>
    <mergeCell ref="N3:N4"/>
    <mergeCell ref="A23:A26"/>
    <mergeCell ref="B23:B26"/>
    <mergeCell ref="A6:A17"/>
    <mergeCell ref="A22:B22"/>
    <mergeCell ref="A60:A61"/>
    <mergeCell ref="B60:B61"/>
    <mergeCell ref="A30:A37"/>
    <mergeCell ref="B30:B37"/>
    <mergeCell ref="A38:A47"/>
    <mergeCell ref="B38:B47"/>
    <mergeCell ref="A48:A49"/>
    <mergeCell ref="B48:B49"/>
    <mergeCell ref="A50:A55"/>
    <mergeCell ref="B50:B55"/>
    <mergeCell ref="A56:A59"/>
    <mergeCell ref="B56:B59"/>
    <mergeCell ref="A1:P1"/>
    <mergeCell ref="A3:A4"/>
    <mergeCell ref="B3:B4"/>
    <mergeCell ref="C3:C4"/>
    <mergeCell ref="D3:D4"/>
    <mergeCell ref="E3:G3"/>
    <mergeCell ref="O3:O4"/>
    <mergeCell ref="P3:P4"/>
    <mergeCell ref="B62:B63"/>
    <mergeCell ref="A62:A63"/>
    <mergeCell ref="A85:C85"/>
    <mergeCell ref="A86:C86"/>
    <mergeCell ref="A64:A72"/>
    <mergeCell ref="B64:B72"/>
    <mergeCell ref="A73:C73"/>
    <mergeCell ref="A74:C74"/>
    <mergeCell ref="A75:A84"/>
    <mergeCell ref="B75:B84"/>
  </mergeCells>
  <printOptions/>
  <pageMargins left="0.15748031496062992" right="0.15748031496062992" top="0.5118110236220472" bottom="0.1968503937007874" header="0.31496062992125984" footer="0.31496062992125984"/>
  <pageSetup fitToHeight="0" fitToWidth="1" horizontalDpi="600" verticalDpi="600" orientation="landscape" paperSize="9" scale="59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2023-04-14T11:59:29Z</cp:lastPrinted>
  <dcterms:created xsi:type="dcterms:W3CDTF">2015-02-26T11:08:47Z</dcterms:created>
  <dcterms:modified xsi:type="dcterms:W3CDTF">2023-04-17T09:28:10Z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