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24.04.2023" sheetId="1" r:id="rId1"/>
  </sheets>
  <definedNames>
    <definedName name="_xlfn.IFERROR" hidden="1">#NAME?</definedName>
    <definedName name="_xlnm._FilterDatabase" localSheetId="0" hidden="1">'24.04.2023'!$A$4:$P$80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'24.04.2023'!$3:$4</definedName>
    <definedName name="о">#REF!</definedName>
    <definedName name="_xlnm.Print_Area" localSheetId="0">'24.04.2023'!$A$1:$P$79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<sst xmlns="http://schemas.openxmlformats.org/spreadsheetml/2006/main" count="129" uniqueCount="104">
  <si>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</si>
  <si>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</si>
  <si>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</si>
  <si>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</si>
  <si>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</si>
  <si>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</si>
  <si>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</si>
  <si>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</si>
  <si>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</si>
  <si>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</si>
  <si>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</si>
  <si>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</si>
  <si>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</si>
  <si>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</si>
  <si>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</si>
  <si>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</si>
  <si>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</si>
  <si>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</si>
  <si>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</si>
  <si>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</si>
  <si>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</si>
  <si>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</si>
  <si>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</si>
  <si>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</si>
  <si>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</si>
  <si>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</si>
  <si>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</si>
  <si>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</si>
  <si>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</si>
  <si>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</si>
  <si>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</si>
  <si>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</si>
  <si>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</si>
  <si>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</si>
  <si>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</si>
  <si>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</si>
  <si>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</si>
  <si>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</si>
  <si>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</si>
  <si>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</si>
  <si>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</si>
  <si>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</si>
  <si>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</si>
  <si>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</si>
  <si>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</si>
  <si>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</si>
  <si>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</si>
  <si>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</si>
  <si>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</si>
  <si>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</si>
  <si>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</si>
  <si>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</si>
  <si>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</si>
  <si>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</si>
  <si>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</si>
  <si>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</si>
  <si>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</si>
  <si>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</si>
  <si>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</si>
  <si>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</si>
  <si>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</si>
  <si>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</si>
  <si>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</si>
  <si>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</si>
  <si>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</si>
  <si>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</si>
  <si>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</si>
  <si>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</si>
  <si>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</si>
  <si>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</si>
  <si>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</si>
  <si>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</si>
  <si>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</si>
  <si>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</si>
  <si>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</si>
  <si>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</si>
  <si>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</si>
  <si>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</si>
  <si>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</si>
  <si>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</si>
  <si>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</si>
  <si>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</si>
  <si>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</si>
  <si>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</si>
  <si>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</si>
  <si>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</si>
  <si>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</si>
  <si>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</si>
  <si>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</si>
  <si>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</si>
  <si>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</si>
  <si>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</si>
  <si>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</si>
  <si>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</si>
  <si>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</si>
  <si>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</si>
  <si>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</si>
  <si>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</si>
  <si>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</si>
  <si>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январь-апрель</t>
  </si>
  <si>
    <t>апрель</t>
  </si>
  <si>
    <t>факта за апрель от плана апреля</t>
  </si>
  <si>
    <t>Факт с нач. 2022 года      (по 21.04.22 вкл.)</t>
  </si>
  <si>
    <t>с нач. года на 24.04.2023 (по 21.04.2023 вкл.)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</si>
</sst>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</numFmts>
  <fonts count="4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0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7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40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13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73" xfId="129"/>
    <cellStyle name="Обычный 73 2" xfId="130"/>
    <cellStyle name="Обычный 74" xfId="131"/>
    <cellStyle name="Обычный 75" xfId="132"/>
    <cellStyle name="Обычный 76" xfId="133"/>
    <cellStyle name="Обычный 8" xfId="134"/>
    <cellStyle name="Обычный 9" xfId="135"/>
    <cellStyle name="Плохой" xfId="136"/>
    <cellStyle name="Пояснение" xfId="137"/>
    <cellStyle name="Примечание" xfId="138"/>
    <cellStyle name="Percent" xfId="139"/>
    <cellStyle name="Процентный 2" xfId="140"/>
    <cellStyle name="Процентный 2 2" xfId="141"/>
    <cellStyle name="Связанная ячейка" xfId="142"/>
    <cellStyle name="Текст предупреждения" xfId="143"/>
    <cellStyle name="Comma" xfId="144"/>
    <cellStyle name="Comma [0]" xfId="145"/>
    <cellStyle name="Финансовый 2" xfId="146"/>
    <cellStyle name="Финансовый 3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89" zoomScaleNormal="89" zoomScalePageLayoutView="0" workbookViewId="0" topLeftCell="A1">
      <selection activeCell="C76" sqref="C76"/>
    </sheetView>
  </sheetViews>
  <sheetFormatPr defaultColWidth="9.00390625" defaultRowHeight="12.75"/>
  <cols>
    <col min="1" max="2" width="9.125" style="66" customWidth="1"/>
    <col min="3" max="3" width="55.25390625" style="66" customWidth="1"/>
    <col min="4" max="4" width="14.625" style="25" customWidth="1"/>
    <col min="5" max="5" width="15.625" style="66" customWidth="1"/>
    <col min="6" max="7" width="13.00390625" style="66" customWidth="1"/>
    <col min="8" max="8" width="16.25390625" style="66" customWidth="1"/>
    <col min="9" max="9" width="13.875" style="66" customWidth="1"/>
    <col min="10" max="10" width="15.125" style="66" customWidth="1"/>
    <col min="11" max="11" width="14.375" style="66" customWidth="1"/>
    <col min="12" max="12" width="15.625" style="66" customWidth="1"/>
    <col min="13" max="13" width="13.75390625" style="66" customWidth="1"/>
    <col min="14" max="14" width="10.875" style="66" customWidth="1"/>
    <col min="15" max="15" width="10.125" style="66" customWidth="1"/>
    <col min="16" max="16" width="9.25390625" style="66" customWidth="1"/>
    <col min="17" max="17" width="16.625" style="66" customWidth="1"/>
    <col min="18" max="18" width="9.125" style="66" customWidth="1"/>
    <col min="19" max="19" width="15.75390625" style="66" customWidth="1"/>
    <col min="20" max="16384" width="9.125" style="66" customWidth="1"/>
  </cols>
  <sheetData>
    <row r="1" spans="1:16" ht="20.25">
      <c r="A1" s="126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20.25" customHeight="1">
      <c r="A2" s="31"/>
      <c r="B2" s="32"/>
      <c r="C2" s="29"/>
      <c r="D2" s="28"/>
      <c r="E2" s="29"/>
      <c r="F2" s="29"/>
      <c r="G2" s="34"/>
      <c r="H2" s="34"/>
      <c r="I2" s="34"/>
      <c r="J2" s="29"/>
      <c r="K2" s="29"/>
      <c r="L2" s="29"/>
      <c r="M2" s="29"/>
      <c r="N2" s="29"/>
      <c r="O2" s="27"/>
      <c r="P2" s="27" t="s">
        <v>0</v>
      </c>
    </row>
    <row r="3" spans="1:16" ht="20.25" customHeight="1">
      <c r="A3" s="127" t="s">
        <v>1</v>
      </c>
      <c r="B3" s="128" t="s">
        <v>2</v>
      </c>
      <c r="C3" s="129" t="s">
        <v>3</v>
      </c>
      <c r="D3" s="131" t="s">
        <v>102</v>
      </c>
      <c r="E3" s="104" t="s">
        <v>84</v>
      </c>
      <c r="F3" s="106"/>
      <c r="G3" s="105"/>
      <c r="H3" s="104" t="s">
        <v>86</v>
      </c>
      <c r="I3" s="105"/>
      <c r="J3" s="104" t="s">
        <v>4</v>
      </c>
      <c r="K3" s="106"/>
      <c r="L3" s="106"/>
      <c r="M3" s="105"/>
      <c r="N3" s="107" t="s">
        <v>98</v>
      </c>
      <c r="O3" s="133" t="s">
        <v>96</v>
      </c>
      <c r="P3" s="107" t="s">
        <v>97</v>
      </c>
    </row>
    <row r="4" spans="1:16" ht="63">
      <c r="A4" s="127"/>
      <c r="B4" s="128"/>
      <c r="C4" s="130"/>
      <c r="D4" s="132"/>
      <c r="E4" s="1" t="s">
        <v>81</v>
      </c>
      <c r="F4" s="1" t="s">
        <v>99</v>
      </c>
      <c r="G4" s="1" t="s">
        <v>100</v>
      </c>
      <c r="H4" s="50" t="s">
        <v>103</v>
      </c>
      <c r="I4" s="1" t="s">
        <v>100</v>
      </c>
      <c r="J4" s="1" t="s">
        <v>87</v>
      </c>
      <c r="K4" s="1" t="s">
        <v>5</v>
      </c>
      <c r="L4" s="1" t="s">
        <v>88</v>
      </c>
      <c r="M4" s="1" t="s">
        <v>101</v>
      </c>
      <c r="N4" s="107"/>
      <c r="O4" s="133"/>
      <c r="P4" s="107"/>
    </row>
    <row r="5" spans="1:17" ht="29.25" customHeight="1">
      <c r="A5" s="83"/>
      <c r="B5" s="84"/>
      <c r="C5" s="85" t="s">
        <v>6</v>
      </c>
      <c r="D5" s="101">
        <f>D17+D19+D21+D18+D20</f>
        <v>4503899.84</v>
      </c>
      <c r="E5" s="98">
        <f>E17+E19+E21+E18+E20</f>
        <v>20002935.000000004</v>
      </c>
      <c r="F5" s="98">
        <f>F17+F19+F21+F18+F20</f>
        <v>3442305.9</v>
      </c>
      <c r="G5" s="98">
        <f>G17+G19+G21+G18+G20</f>
        <v>-194713.09999999998</v>
      </c>
      <c r="H5" s="98">
        <f>H17+H19+H21+H18+H20</f>
        <v>2820018.8299999996</v>
      </c>
      <c r="I5" s="98">
        <f>I17+I19+I21+I18+I20</f>
        <v>186791.68000000002</v>
      </c>
      <c r="J5" s="86">
        <f>H5-D5</f>
        <v>-1683881.0100000002</v>
      </c>
      <c r="K5" s="86">
        <f>H5-F5</f>
        <v>-622287.0700000003</v>
      </c>
      <c r="L5" s="86">
        <f>H5-E5</f>
        <v>-17182916.170000006</v>
      </c>
      <c r="M5" s="86">
        <f>I5-G5</f>
        <v>381504.78</v>
      </c>
      <c r="N5" s="52">
        <f aca="true" t="shared" si="0" ref="N5:N36">_xlfn.IFERROR(H5/D5,"")</f>
        <v>0.6261282289083941</v>
      </c>
      <c r="O5" s="52">
        <f aca="true" t="shared" si="1" ref="O5:O36">_xlfn.IFERROR(H5/F5,"")</f>
        <v>0.8192237738081324</v>
      </c>
      <c r="P5" s="52">
        <f aca="true" t="shared" si="2" ref="P5:P36">_xlfn.IFERROR(H5/E5,"")</f>
        <v>0.14098025264792388</v>
      </c>
      <c r="Q5" s="78"/>
    </row>
    <row r="6" spans="1:20" ht="15.75">
      <c r="A6" s="114" t="s">
        <v>10</v>
      </c>
      <c r="B6" s="74" t="s">
        <v>11</v>
      </c>
      <c r="C6" s="4" t="s">
        <v>12</v>
      </c>
      <c r="D6" s="36">
        <v>3324798.3099999996</v>
      </c>
      <c r="E6" s="5">
        <f>14235121.9+613644.6</f>
        <v>14848766.5</v>
      </c>
      <c r="F6" s="5">
        <v>2444701.2</v>
      </c>
      <c r="G6" s="5">
        <v>-351911.1</v>
      </c>
      <c r="H6" s="91">
        <f>1995428.74+374.99</f>
        <v>1995803.73</v>
      </c>
      <c r="I6" s="91">
        <f>-957.85+374.99</f>
        <v>-582.86</v>
      </c>
      <c r="J6" s="5">
        <f aca="true" t="shared" si="3" ref="J6:J57">H6-D6</f>
        <v>-1328994.5799999996</v>
      </c>
      <c r="K6" s="5">
        <f aca="true" t="shared" si="4" ref="K6:K64">H6-F6</f>
        <v>-448897.4700000002</v>
      </c>
      <c r="L6" s="5">
        <f aca="true" t="shared" si="5" ref="L6:L64">H6-E6</f>
        <v>-12852962.77</v>
      </c>
      <c r="M6" s="5">
        <f>I6-G6</f>
        <v>351328.24</v>
      </c>
      <c r="N6" s="44">
        <f t="shared" si="0"/>
        <v>0.6002781353675556</v>
      </c>
      <c r="O6" s="44">
        <f t="shared" si="1"/>
        <v>0.8163794127478646</v>
      </c>
      <c r="P6" s="44">
        <f t="shared" si="2"/>
        <v>0.13440872209822952</v>
      </c>
      <c r="T6" s="78"/>
    </row>
    <row r="7" spans="1:20" ht="15.75">
      <c r="A7" s="109"/>
      <c r="B7" s="74" t="s">
        <v>7</v>
      </c>
      <c r="C7" s="2" t="s">
        <v>8</v>
      </c>
      <c r="D7" s="35">
        <v>16787.38</v>
      </c>
      <c r="E7" s="3">
        <v>80057.5</v>
      </c>
      <c r="F7" s="3">
        <v>22570</v>
      </c>
      <c r="G7" s="3">
        <v>4720</v>
      </c>
      <c r="H7" s="92">
        <v>18432.26</v>
      </c>
      <c r="I7" s="92">
        <v>2.69</v>
      </c>
      <c r="J7" s="3">
        <f>H7-D7</f>
        <v>1644.8799999999974</v>
      </c>
      <c r="K7" s="3">
        <f>H7-F7</f>
        <v>-4137.740000000002</v>
      </c>
      <c r="L7" s="3">
        <f>H7-E7</f>
        <v>-61625.240000000005</v>
      </c>
      <c r="M7" s="3">
        <f>I7-G7</f>
        <v>-4717.31</v>
      </c>
      <c r="N7" s="44">
        <f t="shared" si="0"/>
        <v>1.0979831278019558</v>
      </c>
      <c r="O7" s="44">
        <f t="shared" si="1"/>
        <v>0.8166708019494904</v>
      </c>
      <c r="P7" s="44">
        <f t="shared" si="2"/>
        <v>0.23023776660525244</v>
      </c>
      <c r="T7" s="78"/>
    </row>
    <row r="8" spans="1:20" ht="15.75">
      <c r="A8" s="109"/>
      <c r="B8" s="74" t="s">
        <v>11</v>
      </c>
      <c r="C8" s="37" t="s">
        <v>89</v>
      </c>
      <c r="D8" s="36"/>
      <c r="E8" s="36">
        <v>1204375.9</v>
      </c>
      <c r="F8" s="36">
        <v>218966.3</v>
      </c>
      <c r="G8" s="36">
        <v>0</v>
      </c>
      <c r="H8" s="91">
        <v>186707.73</v>
      </c>
      <c r="I8" s="91">
        <v>27037.91</v>
      </c>
      <c r="J8" s="5">
        <f>H8-D8</f>
        <v>186707.73</v>
      </c>
      <c r="K8" s="5">
        <f>H8-F8</f>
        <v>-32258.569999999978</v>
      </c>
      <c r="L8" s="5">
        <f>H8-E8</f>
        <v>-1017668.1699999999</v>
      </c>
      <c r="M8" s="5">
        <f aca="true" t="shared" si="6" ref="M8:M64">I8-G8</f>
        <v>27037.91</v>
      </c>
      <c r="N8" s="44">
        <f t="shared" si="0"/>
      </c>
      <c r="O8" s="44">
        <f t="shared" si="1"/>
        <v>0.8526779234978169</v>
      </c>
      <c r="P8" s="44">
        <f t="shared" si="2"/>
        <v>0.15502446536832895</v>
      </c>
      <c r="T8" s="78"/>
    </row>
    <row r="9" spans="1:20" ht="15.75">
      <c r="A9" s="109"/>
      <c r="B9" s="74" t="s">
        <v>11</v>
      </c>
      <c r="C9" s="4" t="s">
        <v>13</v>
      </c>
      <c r="D9" s="36">
        <v>1343.1399999999999</v>
      </c>
      <c r="E9" s="5"/>
      <c r="F9" s="5"/>
      <c r="G9" s="5"/>
      <c r="H9" s="92">
        <v>-3583.6600000000003</v>
      </c>
      <c r="I9" s="92">
        <v>59.75</v>
      </c>
      <c r="J9" s="5">
        <f t="shared" si="3"/>
        <v>-4926.8</v>
      </c>
      <c r="K9" s="5">
        <f>H9-F9</f>
        <v>-3583.6600000000003</v>
      </c>
      <c r="L9" s="5">
        <f t="shared" si="5"/>
        <v>-3583.6600000000003</v>
      </c>
      <c r="M9" s="5">
        <f t="shared" si="6"/>
        <v>59.75</v>
      </c>
      <c r="N9" s="44">
        <f t="shared" si="0"/>
        <v>-2.6681209702637108</v>
      </c>
      <c r="O9" s="44">
        <f t="shared" si="1"/>
      </c>
      <c r="P9" s="44">
        <f t="shared" si="2"/>
      </c>
      <c r="T9" s="78"/>
    </row>
    <row r="10" spans="1:20" ht="15.75">
      <c r="A10" s="109"/>
      <c r="B10" s="74" t="s">
        <v>11</v>
      </c>
      <c r="C10" s="4" t="s">
        <v>14</v>
      </c>
      <c r="D10" s="36">
        <v>2130.3100000000004</v>
      </c>
      <c r="E10" s="5">
        <v>4690.3</v>
      </c>
      <c r="F10" s="5">
        <v>2720.4</v>
      </c>
      <c r="G10" s="5">
        <v>0</v>
      </c>
      <c r="H10" s="93">
        <v>-1178.08</v>
      </c>
      <c r="I10" s="93">
        <v>-1223.7</v>
      </c>
      <c r="J10" s="5">
        <f t="shared" si="3"/>
        <v>-3308.3900000000003</v>
      </c>
      <c r="K10" s="5">
        <f t="shared" si="4"/>
        <v>-3898.48</v>
      </c>
      <c r="L10" s="5">
        <f t="shared" si="5"/>
        <v>-5868.38</v>
      </c>
      <c r="M10" s="5">
        <f t="shared" si="6"/>
        <v>-1223.7</v>
      </c>
      <c r="N10" s="44">
        <f t="shared" si="0"/>
        <v>-0.5530087170411817</v>
      </c>
      <c r="O10" s="44">
        <f t="shared" si="1"/>
        <v>-0.433053962652551</v>
      </c>
      <c r="P10" s="44">
        <f t="shared" si="2"/>
        <v>-0.25117369891051744</v>
      </c>
      <c r="T10" s="78"/>
    </row>
    <row r="11" spans="1:20" ht="31.5">
      <c r="A11" s="109"/>
      <c r="B11" s="74" t="s">
        <v>11</v>
      </c>
      <c r="C11" s="4" t="s">
        <v>91</v>
      </c>
      <c r="D11" s="36">
        <v>94281.61999999998</v>
      </c>
      <c r="E11" s="5">
        <v>314766.5</v>
      </c>
      <c r="F11" s="5">
        <v>118216</v>
      </c>
      <c r="G11" s="5">
        <v>116393</v>
      </c>
      <c r="H11" s="93">
        <v>86705.31000000001</v>
      </c>
      <c r="I11" s="93">
        <v>124821.08</v>
      </c>
      <c r="J11" s="5">
        <f t="shared" si="3"/>
        <v>-7576.309999999969</v>
      </c>
      <c r="K11" s="5">
        <f t="shared" si="4"/>
        <v>-31510.689999999988</v>
      </c>
      <c r="L11" s="5">
        <f t="shared" si="5"/>
        <v>-228061.19</v>
      </c>
      <c r="M11" s="5">
        <f t="shared" si="6"/>
        <v>8428.080000000002</v>
      </c>
      <c r="N11" s="44">
        <f t="shared" si="0"/>
        <v>0.9196417074717217</v>
      </c>
      <c r="O11" s="44">
        <f t="shared" si="1"/>
        <v>0.7334481796034379</v>
      </c>
      <c r="P11" s="44">
        <f t="shared" si="2"/>
        <v>0.2754591419353712</v>
      </c>
      <c r="T11" s="78"/>
    </row>
    <row r="12" spans="1:20" ht="15.75">
      <c r="A12" s="109"/>
      <c r="B12" s="74" t="s">
        <v>15</v>
      </c>
      <c r="C12" s="4" t="s">
        <v>16</v>
      </c>
      <c r="D12" s="36">
        <v>48538.07000000001</v>
      </c>
      <c r="E12" s="5">
        <v>1083466.2</v>
      </c>
      <c r="F12" s="5">
        <v>54200</v>
      </c>
      <c r="G12" s="5">
        <v>8900</v>
      </c>
      <c r="H12" s="93">
        <v>19123.79</v>
      </c>
      <c r="I12" s="93">
        <v>2624.13</v>
      </c>
      <c r="J12" s="5">
        <f t="shared" si="3"/>
        <v>-29414.280000000006</v>
      </c>
      <c r="K12" s="5">
        <f t="shared" si="4"/>
        <v>-35076.21</v>
      </c>
      <c r="L12" s="5">
        <f t="shared" si="5"/>
        <v>-1064342.41</v>
      </c>
      <c r="M12" s="5">
        <f t="shared" si="6"/>
        <v>-6275.87</v>
      </c>
      <c r="N12" s="44">
        <f t="shared" si="0"/>
        <v>0.3939956821521745</v>
      </c>
      <c r="O12" s="44">
        <f t="shared" si="1"/>
        <v>0.35283745387453874</v>
      </c>
      <c r="P12" s="44">
        <f t="shared" si="2"/>
        <v>0.017650564456925377</v>
      </c>
      <c r="T12" s="78"/>
    </row>
    <row r="13" spans="1:20" ht="15.75">
      <c r="A13" s="109"/>
      <c r="B13" s="74" t="s">
        <v>73</v>
      </c>
      <c r="C13" s="4" t="s">
        <v>94</v>
      </c>
      <c r="D13" s="36">
        <v>215139.58</v>
      </c>
      <c r="E13" s="5"/>
      <c r="F13" s="5"/>
      <c r="G13" s="5"/>
      <c r="H13" s="93"/>
      <c r="I13" s="93">
        <v>0</v>
      </c>
      <c r="J13" s="5">
        <f t="shared" si="3"/>
        <v>-215139.58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44">
        <f t="shared" si="0"/>
        <v>0</v>
      </c>
      <c r="O13" s="44">
        <f t="shared" si="1"/>
      </c>
      <c r="P13" s="44">
        <f t="shared" si="2"/>
      </c>
      <c r="T13" s="78"/>
    </row>
    <row r="14" spans="1:20" ht="15.75">
      <c r="A14" s="109"/>
      <c r="B14" s="74" t="s">
        <v>15</v>
      </c>
      <c r="C14" s="4" t="s">
        <v>17</v>
      </c>
      <c r="D14" s="36">
        <v>736980.7599999999</v>
      </c>
      <c r="E14" s="5">
        <v>2237196.9</v>
      </c>
      <c r="F14" s="5">
        <v>509100</v>
      </c>
      <c r="G14" s="5">
        <v>9200</v>
      </c>
      <c r="H14" s="93">
        <v>462543.9</v>
      </c>
      <c r="I14" s="93">
        <v>21472.76</v>
      </c>
      <c r="J14" s="5">
        <f t="shared" si="3"/>
        <v>-274436.85999999987</v>
      </c>
      <c r="K14" s="5">
        <f t="shared" si="4"/>
        <v>-46556.09999999998</v>
      </c>
      <c r="L14" s="5">
        <f t="shared" si="5"/>
        <v>-1774653</v>
      </c>
      <c r="M14" s="5">
        <f t="shared" si="6"/>
        <v>12272.759999999998</v>
      </c>
      <c r="N14" s="44">
        <f t="shared" si="0"/>
        <v>0.6276200480457591</v>
      </c>
      <c r="O14" s="44">
        <f t="shared" si="1"/>
        <v>0.9085521508544491</v>
      </c>
      <c r="P14" s="44">
        <f t="shared" si="2"/>
        <v>0.20675153805192562</v>
      </c>
      <c r="T14" s="78"/>
    </row>
    <row r="15" spans="1:20" ht="15.75">
      <c r="A15" s="109"/>
      <c r="B15" s="74" t="s">
        <v>18</v>
      </c>
      <c r="C15" s="4" t="s">
        <v>19</v>
      </c>
      <c r="D15" s="36">
        <v>63504.41000000001</v>
      </c>
      <c r="E15" s="5">
        <v>228385.6</v>
      </c>
      <c r="F15" s="5">
        <v>71455</v>
      </c>
      <c r="G15" s="5">
        <v>17875</v>
      </c>
      <c r="H15" s="94">
        <f>54321.97+1063.18</f>
        <v>55385.15</v>
      </c>
      <c r="I15" s="94">
        <f>11529.54+1063.18</f>
        <v>12592.720000000001</v>
      </c>
      <c r="J15" s="5">
        <f t="shared" si="3"/>
        <v>-8119.260000000009</v>
      </c>
      <c r="K15" s="5">
        <f t="shared" si="4"/>
        <v>-16069.849999999999</v>
      </c>
      <c r="L15" s="5">
        <f t="shared" si="5"/>
        <v>-173000.45</v>
      </c>
      <c r="M15" s="5">
        <f t="shared" si="6"/>
        <v>-5282.279999999999</v>
      </c>
      <c r="N15" s="44">
        <f t="shared" si="0"/>
        <v>0.872146517068657</v>
      </c>
      <c r="O15" s="44">
        <f t="shared" si="1"/>
        <v>0.7751053110349171</v>
      </c>
      <c r="P15" s="44">
        <f t="shared" si="2"/>
        <v>0.24250718959514084</v>
      </c>
      <c r="T15" s="78"/>
    </row>
    <row r="16" spans="1:20" ht="15.75">
      <c r="A16" s="109"/>
      <c r="B16" s="74" t="s">
        <v>15</v>
      </c>
      <c r="C16" s="4" t="s">
        <v>20</v>
      </c>
      <c r="D16" s="36">
        <v>18.06</v>
      </c>
      <c r="E16" s="5"/>
      <c r="F16" s="5"/>
      <c r="G16" s="5"/>
      <c r="H16" s="95">
        <v>-0.1</v>
      </c>
      <c r="I16" s="95">
        <v>0</v>
      </c>
      <c r="J16" s="5">
        <f t="shared" si="3"/>
        <v>-18.16</v>
      </c>
      <c r="K16" s="5">
        <f t="shared" si="4"/>
        <v>-0.1</v>
      </c>
      <c r="L16" s="5">
        <f t="shared" si="5"/>
        <v>-0.1</v>
      </c>
      <c r="M16" s="5">
        <f t="shared" si="6"/>
        <v>0</v>
      </c>
      <c r="N16" s="44">
        <f t="shared" si="0"/>
        <v>-0.005537098560354375</v>
      </c>
      <c r="O16" s="44">
        <f t="shared" si="1"/>
      </c>
      <c r="P16" s="44">
        <f t="shared" si="2"/>
      </c>
      <c r="T16" s="78"/>
    </row>
    <row r="17" spans="1:20" ht="15.75">
      <c r="A17" s="110"/>
      <c r="B17" s="56"/>
      <c r="C17" s="57" t="s">
        <v>9</v>
      </c>
      <c r="D17" s="30">
        <f>SUM(D6:D16)</f>
        <v>4503521.64</v>
      </c>
      <c r="E17" s="30">
        <f>SUM(E6:E16)</f>
        <v>20001705.400000002</v>
      </c>
      <c r="F17" s="30">
        <f>SUM(F6:F16)</f>
        <v>3441928.9</v>
      </c>
      <c r="G17" s="30">
        <f>SUM(G6:G16)</f>
        <v>-194823.09999999998</v>
      </c>
      <c r="H17" s="30">
        <f>SUM(H6:H16)</f>
        <v>2819940.03</v>
      </c>
      <c r="I17" s="30">
        <f>SUM(I6:I16)</f>
        <v>186804.48</v>
      </c>
      <c r="J17" s="30">
        <f t="shared" si="3"/>
        <v>-1683581.6099999999</v>
      </c>
      <c r="K17" s="30">
        <f t="shared" si="4"/>
        <v>-621988.8700000001</v>
      </c>
      <c r="L17" s="30">
        <f t="shared" si="5"/>
        <v>-17181765.37</v>
      </c>
      <c r="M17" s="30">
        <f>I17-G17</f>
        <v>381627.57999999996</v>
      </c>
      <c r="N17" s="58">
        <f t="shared" si="0"/>
        <v>0.6261633129401373</v>
      </c>
      <c r="O17" s="58">
        <f t="shared" si="1"/>
        <v>0.8192906105643263</v>
      </c>
      <c r="P17" s="58">
        <f t="shared" si="2"/>
        <v>0.14098497971078003</v>
      </c>
      <c r="T17" s="78"/>
    </row>
    <row r="18" spans="1:20" ht="15.75">
      <c r="A18" s="75" t="s">
        <v>70</v>
      </c>
      <c r="B18" s="74" t="s">
        <v>22</v>
      </c>
      <c r="C18" s="4" t="s">
        <v>23</v>
      </c>
      <c r="D18" s="36">
        <v>32</v>
      </c>
      <c r="E18" s="5">
        <v>140</v>
      </c>
      <c r="F18" s="5">
        <v>45</v>
      </c>
      <c r="G18" s="5">
        <v>10</v>
      </c>
      <c r="H18" s="96">
        <v>20</v>
      </c>
      <c r="I18" s="96">
        <v>0</v>
      </c>
      <c r="J18" s="5">
        <f t="shared" si="3"/>
        <v>-12</v>
      </c>
      <c r="K18" s="5">
        <f t="shared" si="4"/>
        <v>-25</v>
      </c>
      <c r="L18" s="5">
        <f t="shared" si="5"/>
        <v>-120</v>
      </c>
      <c r="M18" s="5">
        <f t="shared" si="6"/>
        <v>-10</v>
      </c>
      <c r="N18" s="44">
        <f t="shared" si="0"/>
        <v>0.625</v>
      </c>
      <c r="O18" s="44">
        <f t="shared" si="1"/>
        <v>0.4444444444444444</v>
      </c>
      <c r="P18" s="44">
        <f t="shared" si="2"/>
        <v>0.14285714285714285</v>
      </c>
      <c r="T18" s="78"/>
    </row>
    <row r="19" spans="1:20" ht="19.5" customHeight="1">
      <c r="A19" s="75" t="s">
        <v>21</v>
      </c>
      <c r="B19" s="74" t="s">
        <v>22</v>
      </c>
      <c r="C19" s="4" t="s">
        <v>90</v>
      </c>
      <c r="D19" s="36">
        <v>62.2</v>
      </c>
      <c r="E19" s="5"/>
      <c r="F19" s="5"/>
      <c r="G19" s="5"/>
      <c r="H19" s="96">
        <v>42.4</v>
      </c>
      <c r="I19" s="96">
        <v>8</v>
      </c>
      <c r="J19" s="5">
        <f t="shared" si="3"/>
        <v>-19.800000000000004</v>
      </c>
      <c r="K19" s="5">
        <f t="shared" si="4"/>
        <v>42.4</v>
      </c>
      <c r="L19" s="5">
        <f t="shared" si="5"/>
        <v>42.4</v>
      </c>
      <c r="M19" s="5">
        <f t="shared" si="6"/>
        <v>8</v>
      </c>
      <c r="N19" s="44">
        <f t="shared" si="0"/>
        <v>0.6816720257234726</v>
      </c>
      <c r="O19" s="44">
        <f t="shared" si="1"/>
      </c>
      <c r="P19" s="44">
        <f t="shared" si="2"/>
      </c>
      <c r="T19" s="78"/>
    </row>
    <row r="20" spans="1:20" ht="31.5">
      <c r="A20" s="76" t="s">
        <v>25</v>
      </c>
      <c r="B20" s="77" t="s">
        <v>72</v>
      </c>
      <c r="C20" s="4" t="s">
        <v>26</v>
      </c>
      <c r="D20" s="36">
        <v>264</v>
      </c>
      <c r="E20" s="5">
        <v>969.6</v>
      </c>
      <c r="F20" s="5">
        <v>307</v>
      </c>
      <c r="G20" s="5">
        <v>85</v>
      </c>
      <c r="H20" s="96">
        <v>6.4</v>
      </c>
      <c r="I20" s="96">
        <v>-20.8</v>
      </c>
      <c r="J20" s="5">
        <f t="shared" si="3"/>
        <v>-257.6</v>
      </c>
      <c r="K20" s="5">
        <f t="shared" si="4"/>
        <v>-300.6</v>
      </c>
      <c r="L20" s="5">
        <f t="shared" si="5"/>
        <v>-963.2</v>
      </c>
      <c r="M20" s="5">
        <f t="shared" si="6"/>
        <v>-105.8</v>
      </c>
      <c r="N20" s="44">
        <f t="shared" si="0"/>
        <v>0.024242424242424242</v>
      </c>
      <c r="O20" s="44">
        <f t="shared" si="1"/>
        <v>0.020846905537459284</v>
      </c>
      <c r="P20" s="44">
        <f t="shared" si="2"/>
        <v>0.006600660066006601</v>
      </c>
      <c r="T20" s="78"/>
    </row>
    <row r="21" spans="1:20" ht="15.75">
      <c r="A21" s="75" t="s">
        <v>24</v>
      </c>
      <c r="B21" s="74" t="s">
        <v>11</v>
      </c>
      <c r="C21" s="4" t="s">
        <v>74</v>
      </c>
      <c r="D21" s="36">
        <v>20</v>
      </c>
      <c r="E21" s="5">
        <v>120</v>
      </c>
      <c r="F21" s="5">
        <v>25</v>
      </c>
      <c r="G21" s="5">
        <v>15</v>
      </c>
      <c r="H21" s="96">
        <v>10</v>
      </c>
      <c r="I21" s="96">
        <v>0</v>
      </c>
      <c r="J21" s="5">
        <f t="shared" si="3"/>
        <v>-10</v>
      </c>
      <c r="K21" s="5">
        <f t="shared" si="4"/>
        <v>-15</v>
      </c>
      <c r="L21" s="5">
        <f t="shared" si="5"/>
        <v>-110</v>
      </c>
      <c r="M21" s="5">
        <f t="shared" si="6"/>
        <v>-15</v>
      </c>
      <c r="N21" s="44">
        <f t="shared" si="0"/>
        <v>0.5</v>
      </c>
      <c r="O21" s="44">
        <f t="shared" si="1"/>
        <v>0.4</v>
      </c>
      <c r="P21" s="44">
        <f t="shared" si="2"/>
        <v>0.08333333333333333</v>
      </c>
      <c r="T21" s="78"/>
    </row>
    <row r="22" spans="1:20" ht="27.75" customHeight="1">
      <c r="A22" s="115"/>
      <c r="B22" s="115"/>
      <c r="C22" s="53" t="s">
        <v>27</v>
      </c>
      <c r="D22" s="101">
        <f>D26+D29+D37+D46+D48+D53+D56+D58+D67</f>
        <v>1694426.9499999997</v>
      </c>
      <c r="E22" s="102">
        <f>E26+E29+E37+E46+E48+E53+E56+E58+E67</f>
        <v>6224060.930000001</v>
      </c>
      <c r="F22" s="102">
        <f>F26+F29+F37+F46+F48+F53+F56+F58+F67</f>
        <v>2018890.21</v>
      </c>
      <c r="G22" s="102">
        <f>G26+G29+G37+G46+G48+G53+G56+G58+G67</f>
        <v>654360.51</v>
      </c>
      <c r="H22" s="102">
        <f>H26+H29+H37+H46+H48+H53+H56+H58+H67</f>
        <v>2197104.0300000003</v>
      </c>
      <c r="I22" s="102">
        <f>I26+I29+I37+I46+I48+I53+I56+I58+I67</f>
        <v>517049.75</v>
      </c>
      <c r="J22" s="86">
        <f t="shared" si="3"/>
        <v>502677.08000000054</v>
      </c>
      <c r="K22" s="86">
        <f t="shared" si="4"/>
        <v>178213.8200000003</v>
      </c>
      <c r="L22" s="86">
        <f t="shared" si="5"/>
        <v>-4026956.9000000004</v>
      </c>
      <c r="M22" s="86">
        <f t="shared" si="6"/>
        <v>-137310.76</v>
      </c>
      <c r="N22" s="52">
        <f t="shared" si="0"/>
        <v>1.2966649462226747</v>
      </c>
      <c r="O22" s="52">
        <f t="shared" si="1"/>
        <v>1.08827316072824</v>
      </c>
      <c r="P22" s="52">
        <f t="shared" si="2"/>
        <v>0.3530016904895563</v>
      </c>
      <c r="S22" s="6"/>
      <c r="T22" s="78"/>
    </row>
    <row r="23" spans="1:16" ht="31.5">
      <c r="A23" s="108" t="s">
        <v>25</v>
      </c>
      <c r="B23" s="111" t="s">
        <v>72</v>
      </c>
      <c r="C23" s="7" t="s">
        <v>92</v>
      </c>
      <c r="D23" s="40">
        <v>33196.66</v>
      </c>
      <c r="E23" s="5">
        <f>135475.5+25225.6</f>
        <v>160701.1</v>
      </c>
      <c r="F23" s="5">
        <v>46850</v>
      </c>
      <c r="G23" s="5">
        <v>13600</v>
      </c>
      <c r="H23" s="38">
        <v>47517.310000000005</v>
      </c>
      <c r="I23" s="38">
        <v>10241</v>
      </c>
      <c r="J23" s="8">
        <f t="shared" si="3"/>
        <v>14320.650000000001</v>
      </c>
      <c r="K23" s="8">
        <f t="shared" si="4"/>
        <v>667.310000000005</v>
      </c>
      <c r="L23" s="8">
        <f t="shared" si="5"/>
        <v>-113183.79000000001</v>
      </c>
      <c r="M23" s="8">
        <f t="shared" si="6"/>
        <v>-3359</v>
      </c>
      <c r="N23" s="45">
        <f t="shared" si="0"/>
        <v>1.431388278218351</v>
      </c>
      <c r="O23" s="45">
        <f t="shared" si="1"/>
        <v>1.0142435432230523</v>
      </c>
      <c r="P23" s="45">
        <f t="shared" si="2"/>
        <v>0.2956875217406726</v>
      </c>
    </row>
    <row r="24" spans="1:16" ht="15.75">
      <c r="A24" s="109"/>
      <c r="B24" s="112"/>
      <c r="C24" s="7" t="s">
        <v>28</v>
      </c>
      <c r="D24" s="39">
        <v>3971.23</v>
      </c>
      <c r="E24" s="5">
        <v>31937.8</v>
      </c>
      <c r="F24" s="5">
        <f>G24</f>
        <v>31937.8</v>
      </c>
      <c r="G24" s="5">
        <v>31937.8</v>
      </c>
      <c r="H24" s="17">
        <v>39519.14</v>
      </c>
      <c r="I24" s="17">
        <v>29684.64</v>
      </c>
      <c r="J24" s="5">
        <f t="shared" si="3"/>
        <v>35547.909999999996</v>
      </c>
      <c r="K24" s="5">
        <f t="shared" si="4"/>
        <v>7581.34</v>
      </c>
      <c r="L24" s="5">
        <f t="shared" si="5"/>
        <v>7581.34</v>
      </c>
      <c r="M24" s="5">
        <f t="shared" si="6"/>
        <v>-2253.16</v>
      </c>
      <c r="N24" s="45">
        <f t="shared" si="0"/>
        <v>9.951360157935953</v>
      </c>
      <c r="O24" s="45">
        <f t="shared" si="1"/>
        <v>1.2373782790298644</v>
      </c>
      <c r="P24" s="45">
        <f t="shared" si="2"/>
        <v>1.2373782790298644</v>
      </c>
    </row>
    <row r="25" spans="1:16" ht="15.75">
      <c r="A25" s="109"/>
      <c r="B25" s="112"/>
      <c r="C25" s="7" t="s">
        <v>49</v>
      </c>
      <c r="D25" s="39">
        <v>21366.170000000002</v>
      </c>
      <c r="E25" s="5">
        <f>110819.4+14383.9-8662.9</f>
        <v>116540.4</v>
      </c>
      <c r="F25" s="5">
        <v>31150</v>
      </c>
      <c r="G25" s="5">
        <v>8200</v>
      </c>
      <c r="H25" s="39">
        <v>29788.09</v>
      </c>
      <c r="I25" s="39">
        <v>5872.83</v>
      </c>
      <c r="J25" s="8">
        <f t="shared" si="3"/>
        <v>8421.919999999998</v>
      </c>
      <c r="K25" s="8">
        <f t="shared" si="4"/>
        <v>-1361.9099999999999</v>
      </c>
      <c r="L25" s="8">
        <f t="shared" si="5"/>
        <v>-86752.31</v>
      </c>
      <c r="M25" s="8">
        <f t="shared" si="6"/>
        <v>-2327.17</v>
      </c>
      <c r="N25" s="45">
        <f t="shared" si="0"/>
        <v>1.3941707849371225</v>
      </c>
      <c r="O25" s="45">
        <f t="shared" si="1"/>
        <v>0.9562789727126806</v>
      </c>
      <c r="P25" s="45">
        <f t="shared" si="2"/>
        <v>0.2556031213210183</v>
      </c>
    </row>
    <row r="26" spans="1:16" ht="15.75">
      <c r="A26" s="110"/>
      <c r="B26" s="113"/>
      <c r="C26" s="57" t="s">
        <v>9</v>
      </c>
      <c r="D26" s="30">
        <f aca="true" t="shared" si="7" ref="D26:I26">SUM(D23:D25)</f>
        <v>58534.06000000001</v>
      </c>
      <c r="E26" s="30">
        <f t="shared" si="7"/>
        <v>309179.3</v>
      </c>
      <c r="F26" s="30">
        <f t="shared" si="7"/>
        <v>109937.8</v>
      </c>
      <c r="G26" s="30">
        <f t="shared" si="7"/>
        <v>53737.8</v>
      </c>
      <c r="H26" s="30">
        <f t="shared" si="7"/>
        <v>116824.54000000001</v>
      </c>
      <c r="I26" s="30">
        <f t="shared" si="7"/>
        <v>45798.47</v>
      </c>
      <c r="J26" s="30">
        <f t="shared" si="3"/>
        <v>58290.479999999996</v>
      </c>
      <c r="K26" s="30">
        <f t="shared" si="4"/>
        <v>6886.740000000005</v>
      </c>
      <c r="L26" s="30">
        <f t="shared" si="5"/>
        <v>-192354.75999999998</v>
      </c>
      <c r="M26" s="30">
        <f t="shared" si="6"/>
        <v>-7939.330000000002</v>
      </c>
      <c r="N26" s="59">
        <f t="shared" si="0"/>
        <v>1.9958386621396156</v>
      </c>
      <c r="O26" s="59">
        <f t="shared" si="1"/>
        <v>1.0626421485603679</v>
      </c>
      <c r="P26" s="59">
        <f t="shared" si="2"/>
        <v>0.3778536920162508</v>
      </c>
    </row>
    <row r="27" spans="1:16" ht="31.5">
      <c r="A27" s="103">
        <v>951</v>
      </c>
      <c r="B27" s="103" t="s">
        <v>11</v>
      </c>
      <c r="C27" s="9" t="s">
        <v>29</v>
      </c>
      <c r="D27" s="40">
        <v>23531.48</v>
      </c>
      <c r="E27" s="5">
        <v>91712.1</v>
      </c>
      <c r="F27" s="5">
        <v>24803</v>
      </c>
      <c r="G27" s="5">
        <v>5900</v>
      </c>
      <c r="H27" s="38">
        <v>25456.02</v>
      </c>
      <c r="I27" s="38">
        <v>8494.89</v>
      </c>
      <c r="J27" s="5">
        <f t="shared" si="3"/>
        <v>1924.5400000000009</v>
      </c>
      <c r="K27" s="5">
        <f t="shared" si="4"/>
        <v>653.0200000000004</v>
      </c>
      <c r="L27" s="5">
        <f t="shared" si="5"/>
        <v>-66256.08</v>
      </c>
      <c r="M27" s="5">
        <f t="shared" si="6"/>
        <v>2594.8899999999994</v>
      </c>
      <c r="N27" s="45">
        <f t="shared" si="0"/>
        <v>1.0817857610316053</v>
      </c>
      <c r="O27" s="45">
        <f t="shared" si="1"/>
        <v>1.0263282667419265</v>
      </c>
      <c r="P27" s="45">
        <f t="shared" si="2"/>
        <v>0.2775644653213698</v>
      </c>
    </row>
    <row r="28" spans="1:16" ht="15.75">
      <c r="A28" s="103"/>
      <c r="B28" s="103"/>
      <c r="C28" s="7" t="s">
        <v>30</v>
      </c>
      <c r="D28" s="40">
        <v>2452.68</v>
      </c>
      <c r="E28" s="5">
        <v>14224.9</v>
      </c>
      <c r="F28" s="5">
        <v>1241.3</v>
      </c>
      <c r="G28" s="5">
        <v>599</v>
      </c>
      <c r="H28" s="38">
        <v>2784.97</v>
      </c>
      <c r="I28" s="38">
        <v>372.05</v>
      </c>
      <c r="J28" s="5">
        <f t="shared" si="3"/>
        <v>332.28999999999996</v>
      </c>
      <c r="K28" s="5">
        <f t="shared" si="4"/>
        <v>1543.6699999999998</v>
      </c>
      <c r="L28" s="5">
        <f t="shared" si="5"/>
        <v>-11439.93</v>
      </c>
      <c r="M28" s="5">
        <f t="shared" si="6"/>
        <v>-226.95</v>
      </c>
      <c r="N28" s="45">
        <f t="shared" si="0"/>
        <v>1.1354803724905003</v>
      </c>
      <c r="O28" s="45">
        <f t="shared" si="1"/>
        <v>2.2435913961169742</v>
      </c>
      <c r="P28" s="45">
        <f t="shared" si="2"/>
        <v>0.19578134116935794</v>
      </c>
    </row>
    <row r="29" spans="1:16" ht="15.75">
      <c r="A29" s="103"/>
      <c r="B29" s="103"/>
      <c r="C29" s="60" t="s">
        <v>9</v>
      </c>
      <c r="D29" s="30">
        <f>D27+D28</f>
        <v>25984.16</v>
      </c>
      <c r="E29" s="30">
        <f>E27+E28</f>
        <v>105937</v>
      </c>
      <c r="F29" s="30">
        <f>F27+F28</f>
        <v>26044.3</v>
      </c>
      <c r="G29" s="30">
        <f>G27+G28</f>
        <v>6499</v>
      </c>
      <c r="H29" s="30">
        <f>H27+H28</f>
        <v>28240.99</v>
      </c>
      <c r="I29" s="30">
        <f>I27+I28</f>
        <v>8866.939999999999</v>
      </c>
      <c r="J29" s="30">
        <f t="shared" si="3"/>
        <v>2256.8300000000017</v>
      </c>
      <c r="K29" s="30">
        <f t="shared" si="4"/>
        <v>2196.6900000000023</v>
      </c>
      <c r="L29" s="30">
        <f t="shared" si="5"/>
        <v>-77696.01</v>
      </c>
      <c r="M29" s="30">
        <f t="shared" si="6"/>
        <v>2367.9399999999987</v>
      </c>
      <c r="N29" s="59">
        <f t="shared" si="0"/>
        <v>1.0868540680168226</v>
      </c>
      <c r="O29" s="59">
        <f t="shared" si="1"/>
        <v>1.0843443670975992</v>
      </c>
      <c r="P29" s="59">
        <f t="shared" si="2"/>
        <v>0.26658287472743236</v>
      </c>
    </row>
    <row r="30" spans="1:16" ht="15.75">
      <c r="A30" s="116" t="s">
        <v>31</v>
      </c>
      <c r="B30" s="103" t="s">
        <v>32</v>
      </c>
      <c r="C30" s="7" t="s">
        <v>33</v>
      </c>
      <c r="D30" s="39"/>
      <c r="E30" s="3">
        <v>496</v>
      </c>
      <c r="F30" s="3">
        <f>G30</f>
        <v>0</v>
      </c>
      <c r="G30" s="3">
        <v>0</v>
      </c>
      <c r="H30" s="39">
        <v>0</v>
      </c>
      <c r="I30" s="39">
        <v>0</v>
      </c>
      <c r="J30" s="3">
        <f t="shared" si="3"/>
        <v>0</v>
      </c>
      <c r="K30" s="3">
        <f t="shared" si="4"/>
        <v>0</v>
      </c>
      <c r="L30" s="3">
        <f t="shared" si="5"/>
        <v>-496</v>
      </c>
      <c r="M30" s="3">
        <f t="shared" si="6"/>
        <v>0</v>
      </c>
      <c r="N30" s="45">
        <f t="shared" si="0"/>
      </c>
      <c r="O30" s="45">
        <f t="shared" si="1"/>
      </c>
      <c r="P30" s="45">
        <f t="shared" si="2"/>
        <v>0</v>
      </c>
    </row>
    <row r="31" spans="1:16" ht="15.75">
      <c r="A31" s="116"/>
      <c r="B31" s="103"/>
      <c r="C31" s="10" t="s">
        <v>34</v>
      </c>
      <c r="D31" s="39">
        <v>21225.75</v>
      </c>
      <c r="E31" s="3">
        <v>100081.7</v>
      </c>
      <c r="F31" s="3">
        <v>29500</v>
      </c>
      <c r="G31" s="3">
        <v>8500</v>
      </c>
      <c r="H31" s="39">
        <v>27291.24</v>
      </c>
      <c r="I31" s="39">
        <v>4657.5599999999995</v>
      </c>
      <c r="J31" s="3">
        <f t="shared" si="3"/>
        <v>6065.490000000002</v>
      </c>
      <c r="K31" s="3">
        <f t="shared" si="4"/>
        <v>-2208.7599999999984</v>
      </c>
      <c r="L31" s="3">
        <f t="shared" si="5"/>
        <v>-72790.45999999999</v>
      </c>
      <c r="M31" s="3">
        <f t="shared" si="6"/>
        <v>-3842.4400000000005</v>
      </c>
      <c r="N31" s="45">
        <f t="shared" si="0"/>
        <v>1.2857609271757182</v>
      </c>
      <c r="O31" s="45">
        <f t="shared" si="1"/>
        <v>0.925126779661017</v>
      </c>
      <c r="P31" s="45">
        <f t="shared" si="2"/>
        <v>0.27268961258651686</v>
      </c>
    </row>
    <row r="32" spans="1:16" ht="15.75">
      <c r="A32" s="116"/>
      <c r="B32" s="103"/>
      <c r="C32" s="9" t="s">
        <v>35</v>
      </c>
      <c r="D32" s="39">
        <v>168.42</v>
      </c>
      <c r="E32" s="3">
        <v>557</v>
      </c>
      <c r="F32" s="3">
        <v>185.6</v>
      </c>
      <c r="G32" s="3">
        <v>46.4</v>
      </c>
      <c r="H32" s="39">
        <v>3065.67</v>
      </c>
      <c r="I32" s="39">
        <v>504.09</v>
      </c>
      <c r="J32" s="3">
        <f t="shared" si="3"/>
        <v>2897.25</v>
      </c>
      <c r="K32" s="3">
        <f t="shared" si="4"/>
        <v>2880.07</v>
      </c>
      <c r="L32" s="3">
        <f t="shared" si="5"/>
        <v>2508.67</v>
      </c>
      <c r="M32" s="3">
        <f t="shared" si="6"/>
        <v>457.69</v>
      </c>
      <c r="N32" s="45">
        <f t="shared" si="0"/>
        <v>18.202529390808696</v>
      </c>
      <c r="O32" s="45">
        <f t="shared" si="1"/>
        <v>16.51761853448276</v>
      </c>
      <c r="P32" s="45">
        <f t="shared" si="2"/>
        <v>5.503895870736086</v>
      </c>
    </row>
    <row r="33" spans="1:16" ht="15.75">
      <c r="A33" s="116"/>
      <c r="B33" s="103"/>
      <c r="C33" s="9" t="s">
        <v>36</v>
      </c>
      <c r="D33" s="5">
        <f>D34+D36+D35</f>
        <v>24054.52</v>
      </c>
      <c r="E33" s="5">
        <f>E34+E36+E35</f>
        <v>200264</v>
      </c>
      <c r="F33" s="5">
        <f>F34+F36+F35</f>
        <v>141149.9</v>
      </c>
      <c r="G33" s="5">
        <f>G34+G36+G35</f>
        <v>42635.9</v>
      </c>
      <c r="H33" s="5">
        <v>143998.32</v>
      </c>
      <c r="I33" s="5">
        <v>6231.139999999999</v>
      </c>
      <c r="J33" s="11">
        <f t="shared" si="3"/>
        <v>119943.8</v>
      </c>
      <c r="K33" s="11">
        <f t="shared" si="4"/>
        <v>2848.420000000013</v>
      </c>
      <c r="L33" s="11">
        <f t="shared" si="5"/>
        <v>-56265.67999999999</v>
      </c>
      <c r="M33" s="11">
        <f t="shared" si="6"/>
        <v>-36404.76</v>
      </c>
      <c r="N33" s="45">
        <f t="shared" si="0"/>
        <v>5.986331051295141</v>
      </c>
      <c r="O33" s="45">
        <f t="shared" si="1"/>
        <v>1.020180106397525</v>
      </c>
      <c r="P33" s="45">
        <f t="shared" si="2"/>
        <v>0.7190424639475892</v>
      </c>
    </row>
    <row r="34" spans="1:16" ht="15.75">
      <c r="A34" s="116"/>
      <c r="B34" s="103"/>
      <c r="C34" s="12" t="s">
        <v>37</v>
      </c>
      <c r="D34" s="41">
        <v>12223.08</v>
      </c>
      <c r="E34" s="100">
        <f>48594.6+85630.3+29092.9</f>
        <v>163317.8</v>
      </c>
      <c r="F34" s="100">
        <f>115493.1+14325.9</f>
        <v>129819</v>
      </c>
      <c r="G34" s="100">
        <f>26000+14325.9</f>
        <v>40325.9</v>
      </c>
      <c r="H34" s="41">
        <v>129725.99</v>
      </c>
      <c r="I34" s="41">
        <v>3828.75</v>
      </c>
      <c r="J34" s="13">
        <f t="shared" si="3"/>
        <v>117502.91</v>
      </c>
      <c r="K34" s="13">
        <f t="shared" si="4"/>
        <v>-93.00999999999476</v>
      </c>
      <c r="L34" s="13">
        <f t="shared" si="5"/>
        <v>-33591.80999999998</v>
      </c>
      <c r="M34" s="13">
        <f t="shared" si="6"/>
        <v>-36497.15</v>
      </c>
      <c r="N34" s="45">
        <f t="shared" si="0"/>
        <v>10.61319978270616</v>
      </c>
      <c r="O34" s="45">
        <f t="shared" si="1"/>
        <v>0.9992835409300642</v>
      </c>
      <c r="P34" s="45">
        <f t="shared" si="2"/>
        <v>0.7943162962028635</v>
      </c>
    </row>
    <row r="35" spans="1:16" ht="15.75">
      <c r="A35" s="116"/>
      <c r="B35" s="103"/>
      <c r="C35" s="12" t="s">
        <v>38</v>
      </c>
      <c r="D35" s="41">
        <v>1307.34</v>
      </c>
      <c r="E35" s="100">
        <v>1867.8</v>
      </c>
      <c r="F35" s="100">
        <v>160.3</v>
      </c>
      <c r="G35" s="100">
        <v>0</v>
      </c>
      <c r="H35" s="41">
        <v>693.33</v>
      </c>
      <c r="I35" s="41">
        <v>0</v>
      </c>
      <c r="J35" s="13">
        <f t="shared" si="3"/>
        <v>-614.0099999999999</v>
      </c>
      <c r="K35" s="13">
        <f t="shared" si="4"/>
        <v>533.03</v>
      </c>
      <c r="L35" s="13">
        <f t="shared" si="5"/>
        <v>-1174.4699999999998</v>
      </c>
      <c r="M35" s="13">
        <f t="shared" si="6"/>
        <v>0</v>
      </c>
      <c r="N35" s="45">
        <f t="shared" si="0"/>
        <v>0.5303364082794071</v>
      </c>
      <c r="O35" s="45">
        <f t="shared" si="1"/>
        <v>4.325202744853399</v>
      </c>
      <c r="P35" s="45">
        <f t="shared" si="2"/>
        <v>0.37120141342756185</v>
      </c>
    </row>
    <row r="36" spans="1:16" ht="15.75">
      <c r="A36" s="116"/>
      <c r="B36" s="103"/>
      <c r="C36" s="12" t="s">
        <v>39</v>
      </c>
      <c r="D36" s="30">
        <v>10524.1</v>
      </c>
      <c r="E36" s="5">
        <f>35078.4+85630.3-85630.3</f>
        <v>35078.40000000001</v>
      </c>
      <c r="F36" s="5">
        <v>11170.6</v>
      </c>
      <c r="G36" s="5">
        <v>2310</v>
      </c>
      <c r="H36" s="30">
        <v>13579</v>
      </c>
      <c r="I36" s="41">
        <v>2402.39</v>
      </c>
      <c r="J36" s="13">
        <f t="shared" si="3"/>
        <v>3054.8999999999996</v>
      </c>
      <c r="K36" s="13">
        <f t="shared" si="4"/>
        <v>2408.3999999999996</v>
      </c>
      <c r="L36" s="13">
        <f t="shared" si="5"/>
        <v>-21499.40000000001</v>
      </c>
      <c r="M36" s="13">
        <f t="shared" si="6"/>
        <v>92.38999999999987</v>
      </c>
      <c r="N36" s="45">
        <f t="shared" si="0"/>
        <v>1.2902766032249788</v>
      </c>
      <c r="O36" s="45">
        <f t="shared" si="1"/>
        <v>1.2156016686659623</v>
      </c>
      <c r="P36" s="45">
        <f t="shared" si="2"/>
        <v>0.38710431490603897</v>
      </c>
    </row>
    <row r="37" spans="1:16" ht="15.75">
      <c r="A37" s="116"/>
      <c r="B37" s="116"/>
      <c r="C37" s="60" t="s">
        <v>9</v>
      </c>
      <c r="D37" s="30">
        <f>SUM(D30:D33)</f>
        <v>45448.69</v>
      </c>
      <c r="E37" s="30">
        <f>SUM(E30:E33)</f>
        <v>301398.7</v>
      </c>
      <c r="F37" s="30">
        <f>SUM(F30:F33)</f>
        <v>170835.5</v>
      </c>
      <c r="G37" s="30">
        <f>SUM(G30:G33)</f>
        <v>51182.3</v>
      </c>
      <c r="H37" s="30">
        <f>SUM(H30:H33)</f>
        <v>174355.23</v>
      </c>
      <c r="I37" s="30">
        <f>SUM(I30:I33)</f>
        <v>11392.789999999999</v>
      </c>
      <c r="J37" s="30">
        <f t="shared" si="3"/>
        <v>128906.54000000001</v>
      </c>
      <c r="K37" s="30">
        <f t="shared" si="4"/>
        <v>3519.7300000000105</v>
      </c>
      <c r="L37" s="30">
        <f t="shared" si="5"/>
        <v>-127043.47</v>
      </c>
      <c r="M37" s="30">
        <f t="shared" si="6"/>
        <v>-39789.51</v>
      </c>
      <c r="N37" s="59">
        <f aca="true" t="shared" si="8" ref="N37:N63">_xlfn.IFERROR(H37/D37,"")</f>
        <v>3.8363092533580176</v>
      </c>
      <c r="O37" s="59">
        <f aca="true" t="shared" si="9" ref="O37:O63">_xlfn.IFERROR(H37/F37,"")</f>
        <v>1.0206030362541745</v>
      </c>
      <c r="P37" s="59">
        <f aca="true" t="shared" si="10" ref="P37:P63">_xlfn.IFERROR(H37/E37,"")</f>
        <v>0.5784870007733942</v>
      </c>
    </row>
    <row r="38" spans="1:16" ht="31.5">
      <c r="A38" s="116" t="s">
        <v>71</v>
      </c>
      <c r="B38" s="103" t="s">
        <v>15</v>
      </c>
      <c r="C38" s="9" t="s">
        <v>41</v>
      </c>
      <c r="D38" s="40">
        <v>110625.87</v>
      </c>
      <c r="E38" s="5">
        <v>326627.4</v>
      </c>
      <c r="F38" s="5">
        <v>114800.5</v>
      </c>
      <c r="G38" s="5">
        <v>20200</v>
      </c>
      <c r="H38" s="40">
        <v>100936.37</v>
      </c>
      <c r="I38" s="40">
        <v>6925.96</v>
      </c>
      <c r="J38" s="11">
        <f t="shared" si="3"/>
        <v>-9689.5</v>
      </c>
      <c r="K38" s="11">
        <f t="shared" si="4"/>
        <v>-13864.130000000005</v>
      </c>
      <c r="L38" s="11">
        <f t="shared" si="5"/>
        <v>-225691.03000000003</v>
      </c>
      <c r="M38" s="11">
        <f t="shared" si="6"/>
        <v>-13274.04</v>
      </c>
      <c r="N38" s="45">
        <f t="shared" si="8"/>
        <v>0.9124119882627816</v>
      </c>
      <c r="O38" s="45">
        <f t="shared" si="9"/>
        <v>0.8792328430625301</v>
      </c>
      <c r="P38" s="45">
        <f t="shared" si="10"/>
        <v>0.30902603394571304</v>
      </c>
    </row>
    <row r="39" spans="1:16" ht="31.5">
      <c r="A39" s="116"/>
      <c r="B39" s="103"/>
      <c r="C39" s="9" t="s">
        <v>42</v>
      </c>
      <c r="D39" s="40">
        <v>35720.55</v>
      </c>
      <c r="E39" s="5">
        <f>245061.4+9204.6</f>
        <v>254266</v>
      </c>
      <c r="F39" s="5">
        <v>56504.6</v>
      </c>
      <c r="G39" s="5">
        <v>12804.6</v>
      </c>
      <c r="H39" s="40">
        <v>144755.2</v>
      </c>
      <c r="I39" s="40">
        <v>103979.59</v>
      </c>
      <c r="J39" s="11">
        <f t="shared" si="3"/>
        <v>109034.65000000001</v>
      </c>
      <c r="K39" s="11">
        <f t="shared" si="4"/>
        <v>88250.6</v>
      </c>
      <c r="L39" s="11">
        <f t="shared" si="5"/>
        <v>-109510.79999999999</v>
      </c>
      <c r="M39" s="11">
        <f t="shared" si="6"/>
        <v>91174.98999999999</v>
      </c>
      <c r="N39" s="45">
        <f t="shared" si="8"/>
        <v>4.052434802935565</v>
      </c>
      <c r="O39" s="45">
        <f t="shared" si="9"/>
        <v>2.56183036425353</v>
      </c>
      <c r="P39" s="45">
        <f t="shared" si="10"/>
        <v>0.5693061596910323</v>
      </c>
    </row>
    <row r="40" spans="1:16" ht="31.5">
      <c r="A40" s="116"/>
      <c r="B40" s="103"/>
      <c r="C40" s="7" t="s">
        <v>43</v>
      </c>
      <c r="D40" s="40">
        <v>15732.1</v>
      </c>
      <c r="E40" s="5">
        <f>48566.2-5534.78</f>
        <v>43031.42</v>
      </c>
      <c r="F40" s="5">
        <v>14340</v>
      </c>
      <c r="G40" s="5">
        <v>3000</v>
      </c>
      <c r="H40" s="40">
        <v>13325.11</v>
      </c>
      <c r="I40" s="40">
        <v>358.9</v>
      </c>
      <c r="J40" s="5">
        <f t="shared" si="3"/>
        <v>-2406.99</v>
      </c>
      <c r="K40" s="5">
        <f t="shared" si="4"/>
        <v>-1014.8899999999994</v>
      </c>
      <c r="L40" s="5">
        <f t="shared" si="5"/>
        <v>-29706.309999999998</v>
      </c>
      <c r="M40" s="5">
        <f t="shared" si="6"/>
        <v>-2641.1</v>
      </c>
      <c r="N40" s="45">
        <f t="shared" si="8"/>
        <v>0.8470013539196929</v>
      </c>
      <c r="O40" s="45">
        <f t="shared" si="9"/>
        <v>0.9292266387726639</v>
      </c>
      <c r="P40" s="45">
        <f t="shared" si="10"/>
        <v>0.30966001121970876</v>
      </c>
    </row>
    <row r="41" spans="1:16" s="43" customFormat="1" ht="25.5" customHeight="1">
      <c r="A41" s="117"/>
      <c r="B41" s="120"/>
      <c r="C41" s="9" t="s">
        <v>42</v>
      </c>
      <c r="D41" s="40">
        <v>955.13</v>
      </c>
      <c r="E41" s="5"/>
      <c r="F41" s="5"/>
      <c r="G41" s="5"/>
      <c r="H41" s="40">
        <v>0</v>
      </c>
      <c r="I41" s="40">
        <v>0</v>
      </c>
      <c r="J41" s="5">
        <f t="shared" si="3"/>
        <v>-955.13</v>
      </c>
      <c r="K41" s="5">
        <f t="shared" si="4"/>
        <v>0</v>
      </c>
      <c r="L41" s="5">
        <f t="shared" si="5"/>
        <v>0</v>
      </c>
      <c r="M41" s="5">
        <f t="shared" si="6"/>
        <v>0</v>
      </c>
      <c r="N41" s="48">
        <f t="shared" si="8"/>
        <v>0</v>
      </c>
      <c r="O41" s="48">
        <f t="shared" si="9"/>
      </c>
      <c r="P41" s="48">
        <f t="shared" si="10"/>
      </c>
    </row>
    <row r="42" spans="1:16" ht="31.5">
      <c r="A42" s="118"/>
      <c r="B42" s="121"/>
      <c r="C42" s="14" t="s">
        <v>75</v>
      </c>
      <c r="D42" s="40">
        <v>1435.87</v>
      </c>
      <c r="E42" s="5">
        <v>2948.3</v>
      </c>
      <c r="F42" s="5">
        <v>1412.3</v>
      </c>
      <c r="G42" s="5">
        <v>0</v>
      </c>
      <c r="H42" s="40">
        <v>1812.66</v>
      </c>
      <c r="I42" s="40">
        <v>159.19</v>
      </c>
      <c r="J42" s="5">
        <f t="shared" si="3"/>
        <v>376.7900000000002</v>
      </c>
      <c r="K42" s="5">
        <f t="shared" si="4"/>
        <v>400.3600000000001</v>
      </c>
      <c r="L42" s="5">
        <f t="shared" si="5"/>
        <v>-1135.64</v>
      </c>
      <c r="M42" s="5">
        <f t="shared" si="6"/>
        <v>159.19</v>
      </c>
      <c r="N42" s="45">
        <f t="shared" si="8"/>
        <v>1.2624123353785512</v>
      </c>
      <c r="O42" s="45">
        <f t="shared" si="9"/>
        <v>1.2834808468455712</v>
      </c>
      <c r="P42" s="45">
        <f t="shared" si="10"/>
        <v>0.6148153173014957</v>
      </c>
    </row>
    <row r="43" spans="1:16" ht="15.75">
      <c r="A43" s="119"/>
      <c r="B43" s="122"/>
      <c r="C43" s="15" t="s">
        <v>79</v>
      </c>
      <c r="D43" s="40">
        <v>56.27</v>
      </c>
      <c r="E43" s="5"/>
      <c r="F43" s="5"/>
      <c r="G43" s="5"/>
      <c r="H43" s="40">
        <v>45.15</v>
      </c>
      <c r="I43" s="40">
        <v>11.27</v>
      </c>
      <c r="J43" s="5">
        <f t="shared" si="3"/>
        <v>-11.120000000000005</v>
      </c>
      <c r="K43" s="5">
        <f t="shared" si="4"/>
        <v>45.15</v>
      </c>
      <c r="L43" s="5">
        <f t="shared" si="5"/>
        <v>45.15</v>
      </c>
      <c r="M43" s="5">
        <f t="shared" si="6"/>
        <v>11.27</v>
      </c>
      <c r="N43" s="45">
        <f t="shared" si="8"/>
        <v>0.8023813755109294</v>
      </c>
      <c r="O43" s="45">
        <f t="shared" si="9"/>
      </c>
      <c r="P43" s="45">
        <f t="shared" si="10"/>
      </c>
    </row>
    <row r="44" spans="1:16" ht="27.75" customHeight="1">
      <c r="A44" s="116"/>
      <c r="B44" s="103"/>
      <c r="C44" s="9" t="s">
        <v>44</v>
      </c>
      <c r="D44" s="40">
        <v>41066.53</v>
      </c>
      <c r="E44" s="3">
        <v>104142</v>
      </c>
      <c r="F44" s="3">
        <v>25240</v>
      </c>
      <c r="G44" s="3">
        <v>9400</v>
      </c>
      <c r="H44" s="40">
        <v>57355</v>
      </c>
      <c r="I44" s="40">
        <v>177.81</v>
      </c>
      <c r="J44" s="3">
        <f t="shared" si="3"/>
        <v>16288.470000000001</v>
      </c>
      <c r="K44" s="3">
        <f t="shared" si="4"/>
        <v>32115</v>
      </c>
      <c r="L44" s="3">
        <f t="shared" si="5"/>
        <v>-46787</v>
      </c>
      <c r="M44" s="3">
        <f t="shared" si="6"/>
        <v>-9222.19</v>
      </c>
      <c r="N44" s="45">
        <f t="shared" si="8"/>
        <v>1.3966361414027433</v>
      </c>
      <c r="O44" s="45">
        <f t="shared" si="9"/>
        <v>2.2723851030110933</v>
      </c>
      <c r="P44" s="45">
        <f t="shared" si="10"/>
        <v>0.5507384148566381</v>
      </c>
    </row>
    <row r="45" spans="1:16" ht="27.75" customHeight="1">
      <c r="A45" s="116"/>
      <c r="B45" s="103"/>
      <c r="C45" s="9" t="s">
        <v>45</v>
      </c>
      <c r="D45" s="39">
        <v>14075.55</v>
      </c>
      <c r="E45" s="3">
        <v>45272.2</v>
      </c>
      <c r="F45" s="3">
        <v>7800</v>
      </c>
      <c r="G45" s="3">
        <v>2400</v>
      </c>
      <c r="H45" s="39">
        <v>23916.64</v>
      </c>
      <c r="I45" s="39">
        <v>5108.2</v>
      </c>
      <c r="J45" s="3">
        <f t="shared" si="3"/>
        <v>9841.09</v>
      </c>
      <c r="K45" s="3">
        <f t="shared" si="4"/>
        <v>16116.64</v>
      </c>
      <c r="L45" s="3">
        <f t="shared" si="5"/>
        <v>-21355.559999999998</v>
      </c>
      <c r="M45" s="3">
        <f t="shared" si="6"/>
        <v>2708.2</v>
      </c>
      <c r="N45" s="45">
        <f t="shared" si="8"/>
        <v>1.6991620220879469</v>
      </c>
      <c r="O45" s="45">
        <f t="shared" si="9"/>
        <v>3.0662358974358974</v>
      </c>
      <c r="P45" s="45">
        <f t="shared" si="10"/>
        <v>0.5282853495080867</v>
      </c>
    </row>
    <row r="46" spans="1:16" ht="15.75">
      <c r="A46" s="116"/>
      <c r="B46" s="116"/>
      <c r="C46" s="60" t="s">
        <v>9</v>
      </c>
      <c r="D46" s="30">
        <f>SUM(D38:D45)</f>
        <v>219667.86999999997</v>
      </c>
      <c r="E46" s="30">
        <f>SUM(E38:E45)</f>
        <v>776287.3200000001</v>
      </c>
      <c r="F46" s="30">
        <f>SUM(F38:F45)</f>
        <v>220097.4</v>
      </c>
      <c r="G46" s="30">
        <f>SUM(G38:G45)</f>
        <v>47804.6</v>
      </c>
      <c r="H46" s="30">
        <f>SUM(H38:H45)</f>
        <v>342146.13</v>
      </c>
      <c r="I46" s="30">
        <f>SUM(I38:I45)</f>
        <v>116720.92</v>
      </c>
      <c r="J46" s="30">
        <f t="shared" si="3"/>
        <v>122478.26000000004</v>
      </c>
      <c r="K46" s="30">
        <f t="shared" si="4"/>
        <v>122048.73000000001</v>
      </c>
      <c r="L46" s="30">
        <f t="shared" si="5"/>
        <v>-434141.19000000006</v>
      </c>
      <c r="M46" s="30">
        <f t="shared" si="6"/>
        <v>68916.32</v>
      </c>
      <c r="N46" s="45">
        <f t="shared" si="8"/>
        <v>1.5575611034968384</v>
      </c>
      <c r="O46" s="45">
        <f t="shared" si="9"/>
        <v>1.5545214527749989</v>
      </c>
      <c r="P46" s="45">
        <f t="shared" si="10"/>
        <v>0.44074677144024454</v>
      </c>
    </row>
    <row r="47" spans="1:16" ht="15.75">
      <c r="A47" s="116" t="s">
        <v>46</v>
      </c>
      <c r="B47" s="103" t="s">
        <v>47</v>
      </c>
      <c r="C47" s="7" t="s">
        <v>28</v>
      </c>
      <c r="D47" s="39">
        <v>8187.13</v>
      </c>
      <c r="E47" s="3">
        <v>4487</v>
      </c>
      <c r="F47" s="3">
        <f>G47</f>
        <v>4487</v>
      </c>
      <c r="G47" s="3">
        <v>4487</v>
      </c>
      <c r="H47" s="39">
        <v>2731.14</v>
      </c>
      <c r="I47" s="39">
        <v>0</v>
      </c>
      <c r="J47" s="8">
        <f t="shared" si="3"/>
        <v>-5455.99</v>
      </c>
      <c r="K47" s="8">
        <f t="shared" si="4"/>
        <v>-1755.8600000000001</v>
      </c>
      <c r="L47" s="8">
        <f t="shared" si="5"/>
        <v>-1755.8600000000001</v>
      </c>
      <c r="M47" s="8">
        <f t="shared" si="6"/>
        <v>-4487</v>
      </c>
      <c r="N47" s="45">
        <f t="shared" si="8"/>
        <v>0.3335894263313273</v>
      </c>
      <c r="O47" s="45">
        <f t="shared" si="9"/>
        <v>0.6086784042790283</v>
      </c>
      <c r="P47" s="45">
        <f t="shared" si="10"/>
        <v>0.6086784042790283</v>
      </c>
    </row>
    <row r="48" spans="1:16" ht="15.75">
      <c r="A48" s="116"/>
      <c r="B48" s="103"/>
      <c r="C48" s="61" t="s">
        <v>9</v>
      </c>
      <c r="D48" s="30">
        <f>D47</f>
        <v>8187.13</v>
      </c>
      <c r="E48" s="62">
        <f>SUM(E47:E47)</f>
        <v>4487</v>
      </c>
      <c r="F48" s="62">
        <f>SUM(F47:F47)</f>
        <v>4487</v>
      </c>
      <c r="G48" s="62">
        <f>SUM(G47:G47)</f>
        <v>4487</v>
      </c>
      <c r="H48" s="62">
        <f>SUM(H47:H47)</f>
        <v>2731.14</v>
      </c>
      <c r="I48" s="62">
        <f>SUM(I47:I47)</f>
        <v>0</v>
      </c>
      <c r="J48" s="63">
        <f t="shared" si="3"/>
        <v>-5455.99</v>
      </c>
      <c r="K48" s="63">
        <f t="shared" si="4"/>
        <v>-1755.8600000000001</v>
      </c>
      <c r="L48" s="63">
        <f t="shared" si="5"/>
        <v>-1755.8600000000001</v>
      </c>
      <c r="M48" s="63">
        <f t="shared" si="6"/>
        <v>-4487</v>
      </c>
      <c r="N48" s="45">
        <f t="shared" si="8"/>
        <v>0.3335894263313273</v>
      </c>
      <c r="O48" s="45">
        <f t="shared" si="9"/>
        <v>0.6086784042790283</v>
      </c>
      <c r="P48" s="45">
        <f t="shared" si="10"/>
        <v>0.6086784042790283</v>
      </c>
    </row>
    <row r="49" spans="1:16" ht="15.75">
      <c r="A49" s="108"/>
      <c r="B49" s="111"/>
      <c r="C49" s="16" t="s">
        <v>82</v>
      </c>
      <c r="D49" s="39">
        <v>123844.47</v>
      </c>
      <c r="E49" s="88">
        <f>537127.7+16130.16</f>
        <v>553257.86</v>
      </c>
      <c r="F49" s="88">
        <f>166934.4+16130.16</f>
        <v>183064.56</v>
      </c>
      <c r="G49" s="3">
        <f>44405.8+16130.16</f>
        <v>60535.96000000001</v>
      </c>
      <c r="H49" s="39">
        <v>184072.17</v>
      </c>
      <c r="I49" s="39">
        <v>39525.14</v>
      </c>
      <c r="J49" s="8">
        <f t="shared" si="3"/>
        <v>60227.70000000001</v>
      </c>
      <c r="K49" s="8">
        <f t="shared" si="4"/>
        <v>1007.6100000000151</v>
      </c>
      <c r="L49" s="8">
        <f t="shared" si="5"/>
        <v>-369185.68999999994</v>
      </c>
      <c r="M49" s="8">
        <f t="shared" si="6"/>
        <v>-21010.820000000007</v>
      </c>
      <c r="N49" s="45">
        <f t="shared" si="8"/>
        <v>1.4863172332200218</v>
      </c>
      <c r="O49" s="45">
        <f t="shared" si="9"/>
        <v>1.0055041237910822</v>
      </c>
      <c r="P49" s="45">
        <f t="shared" si="10"/>
        <v>0.3327059284797147</v>
      </c>
    </row>
    <row r="50" spans="1:16" ht="15.75">
      <c r="A50" s="123"/>
      <c r="B50" s="124"/>
      <c r="C50" s="16" t="s">
        <v>76</v>
      </c>
      <c r="D50" s="39">
        <v>86936.6</v>
      </c>
      <c r="E50" s="92">
        <f>354489-4173.5</f>
        <v>350315.5</v>
      </c>
      <c r="F50" s="92">
        <f>123035.2-4173.5</f>
        <v>118861.7</v>
      </c>
      <c r="G50" s="39">
        <f>30213.6-4173.5</f>
        <v>26040.1</v>
      </c>
      <c r="H50" s="39">
        <v>108546.02</v>
      </c>
      <c r="I50" s="39">
        <v>23884.940000000002</v>
      </c>
      <c r="J50" s="17">
        <f t="shared" si="3"/>
        <v>21609.42</v>
      </c>
      <c r="K50" s="17">
        <f t="shared" si="4"/>
        <v>-10315.679999999993</v>
      </c>
      <c r="L50" s="17">
        <f t="shared" si="5"/>
        <v>-241769.47999999998</v>
      </c>
      <c r="M50" s="17">
        <f t="shared" si="6"/>
        <v>-2155.159999999996</v>
      </c>
      <c r="N50" s="45">
        <f t="shared" si="8"/>
        <v>1.2485652763048014</v>
      </c>
      <c r="O50" s="45">
        <f t="shared" si="9"/>
        <v>0.9132127506168934</v>
      </c>
      <c r="P50" s="45">
        <f t="shared" si="10"/>
        <v>0.309852176109821</v>
      </c>
    </row>
    <row r="51" spans="1:16" ht="31.5">
      <c r="A51" s="108"/>
      <c r="B51" s="111"/>
      <c r="C51" s="16" t="s">
        <v>77</v>
      </c>
      <c r="D51" s="39">
        <v>1050599.13</v>
      </c>
      <c r="E51" s="89">
        <f>3510723.4+35171.1+96433.35</f>
        <v>3642327.85</v>
      </c>
      <c r="F51" s="89">
        <f>1034102+96433.35</f>
        <v>1130535.35</v>
      </c>
      <c r="G51" s="5">
        <f>287600.5+96433.35</f>
        <v>384033.85</v>
      </c>
      <c r="H51" s="39">
        <v>1136873.28</v>
      </c>
      <c r="I51" s="39">
        <v>238755.62</v>
      </c>
      <c r="J51" s="8">
        <f t="shared" si="3"/>
        <v>86274.15000000014</v>
      </c>
      <c r="K51" s="8">
        <f t="shared" si="4"/>
        <v>6337.929999999935</v>
      </c>
      <c r="L51" s="8">
        <f t="shared" si="5"/>
        <v>-2505454.5700000003</v>
      </c>
      <c r="M51" s="8">
        <f t="shared" si="6"/>
        <v>-145278.22999999998</v>
      </c>
      <c r="N51" s="45">
        <f t="shared" si="8"/>
        <v>1.0821190000414336</v>
      </c>
      <c r="O51" s="45">
        <f t="shared" si="9"/>
        <v>1.0056061316437384</v>
      </c>
      <c r="P51" s="45">
        <f t="shared" si="10"/>
        <v>0.31212821218166836</v>
      </c>
    </row>
    <row r="52" spans="1:16" ht="31.5">
      <c r="A52" s="123"/>
      <c r="B52" s="124"/>
      <c r="C52" s="16" t="s">
        <v>78</v>
      </c>
      <c r="D52" s="39">
        <v>971.5</v>
      </c>
      <c r="E52" s="3"/>
      <c r="F52" s="3">
        <v>0</v>
      </c>
      <c r="G52" s="3"/>
      <c r="H52" s="39">
        <v>443.52</v>
      </c>
      <c r="I52" s="39">
        <v>86.5</v>
      </c>
      <c r="J52" s="8">
        <f t="shared" si="3"/>
        <v>-527.98</v>
      </c>
      <c r="K52" s="8">
        <f t="shared" si="4"/>
        <v>443.52</v>
      </c>
      <c r="L52" s="8">
        <f t="shared" si="5"/>
        <v>443.52</v>
      </c>
      <c r="M52" s="8">
        <f t="shared" si="6"/>
        <v>86.5</v>
      </c>
      <c r="N52" s="45">
        <f t="shared" si="8"/>
        <v>0.4565311374163664</v>
      </c>
      <c r="O52" s="45">
        <f t="shared" si="9"/>
      </c>
      <c r="P52" s="45">
        <f t="shared" si="10"/>
      </c>
    </row>
    <row r="53" spans="1:16" ht="15.75">
      <c r="A53" s="108"/>
      <c r="B53" s="111"/>
      <c r="C53" s="64" t="s">
        <v>9</v>
      </c>
      <c r="D53" s="65">
        <f>SUM(D49:D52)</f>
        <v>1262351.7</v>
      </c>
      <c r="E53" s="65">
        <f>SUM(E49:E52)</f>
        <v>4545901.21</v>
      </c>
      <c r="F53" s="65">
        <f>SUM(F49:F52)</f>
        <v>1432461.61</v>
      </c>
      <c r="G53" s="65">
        <f>SUM(G49:G52)</f>
        <v>470609.91</v>
      </c>
      <c r="H53" s="65">
        <f>SUM(H49:H52)</f>
        <v>1429934.99</v>
      </c>
      <c r="I53" s="65">
        <f>SUM(I49:I52)</f>
        <v>302252.2</v>
      </c>
      <c r="J53" s="65">
        <f t="shared" si="3"/>
        <v>167583.29000000004</v>
      </c>
      <c r="K53" s="65">
        <f t="shared" si="4"/>
        <v>-2526.6200000001118</v>
      </c>
      <c r="L53" s="65">
        <f t="shared" si="5"/>
        <v>-3115966.2199999997</v>
      </c>
      <c r="M53" s="65">
        <f t="shared" si="6"/>
        <v>-168357.70999999996</v>
      </c>
      <c r="N53" s="45">
        <f t="shared" si="8"/>
        <v>1.1327548336965048</v>
      </c>
      <c r="O53" s="45">
        <f t="shared" si="9"/>
        <v>0.9982361691354507</v>
      </c>
      <c r="P53" s="45">
        <f t="shared" si="10"/>
        <v>0.3145547876963213</v>
      </c>
    </row>
    <row r="54" spans="1:16" ht="15.75">
      <c r="A54" s="125">
        <v>991</v>
      </c>
      <c r="B54" s="125" t="s">
        <v>50</v>
      </c>
      <c r="C54" s="9" t="s">
        <v>51</v>
      </c>
      <c r="D54" s="40">
        <v>16346.91</v>
      </c>
      <c r="E54" s="5">
        <v>54298.2</v>
      </c>
      <c r="F54" s="5">
        <v>17000</v>
      </c>
      <c r="G54" s="5">
        <v>4500</v>
      </c>
      <c r="H54" s="40">
        <v>16422.48</v>
      </c>
      <c r="I54" s="40">
        <v>2952.9900000000002</v>
      </c>
      <c r="J54" s="5">
        <f t="shared" si="3"/>
        <v>75.56999999999971</v>
      </c>
      <c r="K54" s="5">
        <f t="shared" si="4"/>
        <v>-577.5200000000004</v>
      </c>
      <c r="L54" s="5">
        <f t="shared" si="5"/>
        <v>-37875.72</v>
      </c>
      <c r="M54" s="5">
        <f t="shared" si="6"/>
        <v>-1547.0099999999998</v>
      </c>
      <c r="N54" s="45">
        <f t="shared" si="8"/>
        <v>1.0046228920328062</v>
      </c>
      <c r="O54" s="45">
        <f t="shared" si="9"/>
        <v>0.9660282352941176</v>
      </c>
      <c r="P54" s="45">
        <f t="shared" si="10"/>
        <v>0.3024498049659105</v>
      </c>
    </row>
    <row r="55" spans="1:16" ht="15.75">
      <c r="A55" s="125"/>
      <c r="B55" s="125"/>
      <c r="C55" s="7" t="s">
        <v>52</v>
      </c>
      <c r="D55" s="40">
        <v>1849</v>
      </c>
      <c r="E55" s="5"/>
      <c r="F55" s="5"/>
      <c r="G55" s="5"/>
      <c r="H55" s="40">
        <v>2263.47</v>
      </c>
      <c r="I55" s="40">
        <v>0</v>
      </c>
      <c r="J55" s="5">
        <f t="shared" si="3"/>
        <v>414.4699999999998</v>
      </c>
      <c r="K55" s="5">
        <f t="shared" si="4"/>
        <v>2263.47</v>
      </c>
      <c r="L55" s="5">
        <f t="shared" si="5"/>
        <v>2263.47</v>
      </c>
      <c r="M55" s="5">
        <f t="shared" si="6"/>
        <v>0</v>
      </c>
      <c r="N55" s="48">
        <f t="shared" si="8"/>
        <v>1.2241590048674957</v>
      </c>
      <c r="O55" s="48">
        <f t="shared" si="9"/>
      </c>
      <c r="P55" s="48">
        <f t="shared" si="10"/>
      </c>
    </row>
    <row r="56" spans="1:16" ht="15.75">
      <c r="A56" s="125"/>
      <c r="B56" s="125"/>
      <c r="C56" s="60" t="s">
        <v>9</v>
      </c>
      <c r="D56" s="30">
        <f>SUM(D54:D55)</f>
        <v>18195.91</v>
      </c>
      <c r="E56" s="30">
        <f>SUM(E54:E55)</f>
        <v>54298.2</v>
      </c>
      <c r="F56" s="30">
        <f>SUM(F54:F55)</f>
        <v>17000</v>
      </c>
      <c r="G56" s="30">
        <f>SUM(G54:G55)</f>
        <v>4500</v>
      </c>
      <c r="H56" s="30">
        <f>SUM(H54:H55)</f>
        <v>18685.95</v>
      </c>
      <c r="I56" s="30">
        <f>SUM(I54:I55)</f>
        <v>2952.9900000000002</v>
      </c>
      <c r="J56" s="30">
        <f t="shared" si="3"/>
        <v>490.0400000000009</v>
      </c>
      <c r="K56" s="30">
        <f t="shared" si="4"/>
        <v>1685.9500000000007</v>
      </c>
      <c r="L56" s="30">
        <f t="shared" si="5"/>
        <v>-35612.25</v>
      </c>
      <c r="M56" s="30">
        <f t="shared" si="6"/>
        <v>-1547.0099999999998</v>
      </c>
      <c r="N56" s="59">
        <f t="shared" si="8"/>
        <v>1.0269313268751055</v>
      </c>
      <c r="O56" s="59">
        <f t="shared" si="9"/>
        <v>1.0991735294117648</v>
      </c>
      <c r="P56" s="59">
        <f t="shared" si="10"/>
        <v>0.34413571720609526</v>
      </c>
    </row>
    <row r="57" spans="1:16" ht="15.75">
      <c r="A57" s="116" t="s">
        <v>53</v>
      </c>
      <c r="B57" s="103" t="s">
        <v>54</v>
      </c>
      <c r="C57" s="7" t="s">
        <v>55</v>
      </c>
      <c r="D57" s="40">
        <v>1848.6799999999998</v>
      </c>
      <c r="E57" s="5">
        <v>7767.5</v>
      </c>
      <c r="F57" s="5">
        <v>3608.7</v>
      </c>
      <c r="G57" s="5">
        <v>1738.1</v>
      </c>
      <c r="H57" s="38">
        <v>6511.66</v>
      </c>
      <c r="I57" s="38">
        <v>1659.6299999999999</v>
      </c>
      <c r="J57" s="5">
        <f t="shared" si="3"/>
        <v>4662.98</v>
      </c>
      <c r="K57" s="5">
        <f t="shared" si="4"/>
        <v>2902.96</v>
      </c>
      <c r="L57" s="5">
        <f t="shared" si="5"/>
        <v>-1255.8400000000001</v>
      </c>
      <c r="M57" s="5">
        <f t="shared" si="6"/>
        <v>-78.47000000000003</v>
      </c>
      <c r="N57" s="45">
        <f t="shared" si="8"/>
        <v>3.522329445874895</v>
      </c>
      <c r="O57" s="45">
        <f t="shared" si="9"/>
        <v>1.8044337295979163</v>
      </c>
      <c r="P57" s="45">
        <f t="shared" si="10"/>
        <v>0.8383212101705826</v>
      </c>
    </row>
    <row r="58" spans="1:16" ht="15.75">
      <c r="A58" s="116"/>
      <c r="B58" s="103"/>
      <c r="C58" s="60" t="s">
        <v>9</v>
      </c>
      <c r="D58" s="30">
        <f aca="true" t="shared" si="11" ref="D58:J58">D57</f>
        <v>1848.6799999999998</v>
      </c>
      <c r="E58" s="30">
        <f t="shared" si="11"/>
        <v>7767.5</v>
      </c>
      <c r="F58" s="30">
        <f t="shared" si="11"/>
        <v>3608.7</v>
      </c>
      <c r="G58" s="30">
        <f t="shared" si="11"/>
        <v>1738.1</v>
      </c>
      <c r="H58" s="30">
        <f t="shared" si="11"/>
        <v>6511.66</v>
      </c>
      <c r="I58" s="30">
        <f t="shared" si="11"/>
        <v>1659.6299999999999</v>
      </c>
      <c r="J58" s="67">
        <f t="shared" si="11"/>
        <v>4662.98</v>
      </c>
      <c r="K58" s="67">
        <f t="shared" si="4"/>
        <v>2902.96</v>
      </c>
      <c r="L58" s="67">
        <f t="shared" si="5"/>
        <v>-1255.8400000000001</v>
      </c>
      <c r="M58" s="67">
        <f t="shared" si="6"/>
        <v>-78.47000000000003</v>
      </c>
      <c r="N58" s="59">
        <f t="shared" si="8"/>
        <v>3.522329445874895</v>
      </c>
      <c r="O58" s="59">
        <f t="shared" si="9"/>
        <v>1.8044337295979163</v>
      </c>
      <c r="P58" s="59">
        <f t="shared" si="10"/>
        <v>0.8383212101705826</v>
      </c>
    </row>
    <row r="59" spans="1:16" ht="15.75">
      <c r="A59" s="103"/>
      <c r="B59" s="103" t="s">
        <v>56</v>
      </c>
      <c r="C59" s="10" t="s">
        <v>57</v>
      </c>
      <c r="D59" s="40">
        <v>309.24</v>
      </c>
      <c r="E59" s="5">
        <v>41.2</v>
      </c>
      <c r="F59" s="5">
        <v>35.6</v>
      </c>
      <c r="G59" s="5">
        <v>8.9</v>
      </c>
      <c r="H59" s="38">
        <v>72.45</v>
      </c>
      <c r="I59" s="38">
        <v>10.61</v>
      </c>
      <c r="J59" s="5">
        <f aca="true" t="shared" si="12" ref="J59:J77">H59-D59</f>
        <v>-236.79000000000002</v>
      </c>
      <c r="K59" s="5">
        <f t="shared" si="4"/>
        <v>36.85</v>
      </c>
      <c r="L59" s="5">
        <f t="shared" si="5"/>
        <v>31.25</v>
      </c>
      <c r="M59" s="5">
        <f t="shared" si="6"/>
        <v>1.709999999999999</v>
      </c>
      <c r="N59" s="45">
        <f t="shared" si="8"/>
        <v>0.23428405122235157</v>
      </c>
      <c r="O59" s="45">
        <f t="shared" si="9"/>
        <v>2.0351123595505616</v>
      </c>
      <c r="P59" s="45">
        <f t="shared" si="10"/>
        <v>1.758495145631068</v>
      </c>
    </row>
    <row r="60" spans="1:16" ht="15.75">
      <c r="A60" s="121"/>
      <c r="B60" s="121"/>
      <c r="C60" s="7" t="s">
        <v>93</v>
      </c>
      <c r="D60" s="18">
        <v>-19.55</v>
      </c>
      <c r="E60" s="18">
        <v>47.1</v>
      </c>
      <c r="F60" s="18">
        <v>47.1</v>
      </c>
      <c r="G60" s="18">
        <v>0</v>
      </c>
      <c r="H60" s="42">
        <v>7.77000000000001</v>
      </c>
      <c r="I60" s="42">
        <v>0</v>
      </c>
      <c r="J60" s="18">
        <f t="shared" si="12"/>
        <v>27.32000000000001</v>
      </c>
      <c r="K60" s="18">
        <f t="shared" si="4"/>
        <v>-39.32999999999999</v>
      </c>
      <c r="L60" s="18">
        <f t="shared" si="5"/>
        <v>-39.32999999999999</v>
      </c>
      <c r="M60" s="18">
        <f t="shared" si="6"/>
        <v>0</v>
      </c>
      <c r="N60" s="45">
        <f t="shared" si="8"/>
        <v>-0.3974424552429673</v>
      </c>
      <c r="O60" s="45">
        <f t="shared" si="9"/>
        <v>0.16496815286624225</v>
      </c>
      <c r="P60" s="45">
        <f t="shared" si="10"/>
        <v>0.16496815286624225</v>
      </c>
    </row>
    <row r="61" spans="1:16" ht="15.75">
      <c r="A61" s="103"/>
      <c r="B61" s="103"/>
      <c r="C61" s="7" t="s">
        <v>28</v>
      </c>
      <c r="D61" s="40">
        <v>9531</v>
      </c>
      <c r="E61" s="5">
        <v>6100</v>
      </c>
      <c r="F61" s="5">
        <f>G61</f>
        <v>6100</v>
      </c>
      <c r="G61" s="5">
        <v>6100</v>
      </c>
      <c r="H61" s="38">
        <v>7387.5</v>
      </c>
      <c r="I61" s="38">
        <v>7387.5</v>
      </c>
      <c r="J61" s="5">
        <f t="shared" si="12"/>
        <v>-2143.5</v>
      </c>
      <c r="K61" s="5">
        <f t="shared" si="4"/>
        <v>1287.5</v>
      </c>
      <c r="L61" s="5">
        <f t="shared" si="5"/>
        <v>1287.5</v>
      </c>
      <c r="M61" s="5">
        <f t="shared" si="6"/>
        <v>1287.5</v>
      </c>
      <c r="N61" s="45">
        <f t="shared" si="8"/>
        <v>0.7751022977651872</v>
      </c>
      <c r="O61" s="45">
        <f t="shared" si="9"/>
        <v>1.2110655737704918</v>
      </c>
      <c r="P61" s="45">
        <f t="shared" si="10"/>
        <v>1.2110655737704918</v>
      </c>
    </row>
    <row r="62" spans="1:16" ht="31.5">
      <c r="A62" s="103"/>
      <c r="B62" s="103"/>
      <c r="C62" s="7" t="s">
        <v>48</v>
      </c>
      <c r="D62" s="40">
        <v>5343.810000000056</v>
      </c>
      <c r="E62" s="3">
        <v>680.5</v>
      </c>
      <c r="F62" s="3">
        <v>210</v>
      </c>
      <c r="G62" s="3">
        <v>60</v>
      </c>
      <c r="H62" s="40">
        <v>20927.399999999972</v>
      </c>
      <c r="I62" s="40">
        <v>7958.6199999999835</v>
      </c>
      <c r="J62" s="3">
        <f t="shared" si="12"/>
        <v>15583.589999999916</v>
      </c>
      <c r="K62" s="3">
        <f t="shared" si="4"/>
        <v>20717.399999999972</v>
      </c>
      <c r="L62" s="3">
        <f t="shared" si="5"/>
        <v>20246.899999999972</v>
      </c>
      <c r="M62" s="3">
        <f t="shared" si="6"/>
        <v>7898.6199999999835</v>
      </c>
      <c r="N62" s="45">
        <f t="shared" si="8"/>
        <v>3.9161946251831097</v>
      </c>
      <c r="O62" s="45">
        <f t="shared" si="9"/>
        <v>99.65428571428558</v>
      </c>
      <c r="P62" s="45">
        <f t="shared" si="10"/>
        <v>30.752975753122662</v>
      </c>
    </row>
    <row r="63" spans="1:16" ht="15.75">
      <c r="A63" s="103"/>
      <c r="B63" s="103"/>
      <c r="C63" s="7" t="s">
        <v>49</v>
      </c>
      <c r="D63" s="39">
        <v>29579.719999999972</v>
      </c>
      <c r="E63" s="3">
        <f>86939.9+8662.9</f>
        <v>95602.79999999999</v>
      </c>
      <c r="F63" s="3">
        <v>26075.2</v>
      </c>
      <c r="G63" s="3">
        <v>6682.9</v>
      </c>
      <c r="H63" s="92">
        <v>30083.789999999986</v>
      </c>
      <c r="I63" s="92">
        <v>6773.719999999999</v>
      </c>
      <c r="J63" s="3">
        <f t="shared" si="12"/>
        <v>504.07000000001426</v>
      </c>
      <c r="K63" s="3">
        <f t="shared" si="4"/>
        <v>4008.5899999999856</v>
      </c>
      <c r="L63" s="3">
        <f t="shared" si="5"/>
        <v>-65519.01</v>
      </c>
      <c r="M63" s="3">
        <f t="shared" si="6"/>
        <v>90.81999999999971</v>
      </c>
      <c r="N63" s="45">
        <f t="shared" si="8"/>
        <v>1.0170410673258576</v>
      </c>
      <c r="O63" s="45">
        <f t="shared" si="9"/>
        <v>1.1537318985089275</v>
      </c>
      <c r="P63" s="45">
        <f t="shared" si="10"/>
        <v>0.3146747793997664</v>
      </c>
    </row>
    <row r="64" spans="1:16" ht="15.75">
      <c r="A64" s="103"/>
      <c r="B64" s="103"/>
      <c r="C64" s="7" t="s">
        <v>58</v>
      </c>
      <c r="D64" s="39">
        <v>217.95000000000002</v>
      </c>
      <c r="E64" s="3"/>
      <c r="F64" s="3"/>
      <c r="G64" s="3"/>
      <c r="H64" s="92">
        <v>-6176.09</v>
      </c>
      <c r="I64" s="92">
        <v>-519.45</v>
      </c>
      <c r="J64" s="3">
        <f t="shared" si="12"/>
        <v>-6394.04</v>
      </c>
      <c r="K64" s="3">
        <f t="shared" si="4"/>
        <v>-6176.09</v>
      </c>
      <c r="L64" s="3">
        <f t="shared" si="5"/>
        <v>-6176.09</v>
      </c>
      <c r="M64" s="3">
        <f t="shared" si="6"/>
        <v>-519.45</v>
      </c>
      <c r="N64" s="45">
        <f aca="true" t="shared" si="13" ref="N64:N78">_xlfn.IFERROR(H64/D64,"")</f>
        <v>-28.337187428309242</v>
      </c>
      <c r="O64" s="45">
        <f aca="true" t="shared" si="14" ref="O64:O78">_xlfn.IFERROR(H64/F64,"")</f>
      </c>
      <c r="P64" s="45">
        <f aca="true" t="shared" si="15" ref="P64:P78">_xlfn.IFERROR(H64/E64,"")</f>
      </c>
    </row>
    <row r="65" spans="1:16" ht="15.75">
      <c r="A65" s="103"/>
      <c r="B65" s="103"/>
      <c r="C65" s="7" t="s">
        <v>40</v>
      </c>
      <c r="D65" s="39">
        <f>7252.93+58.05</f>
        <v>7310.9800000000005</v>
      </c>
      <c r="E65" s="3">
        <v>16333.1</v>
      </c>
      <c r="F65" s="3">
        <v>1950</v>
      </c>
      <c r="G65" s="3">
        <v>950</v>
      </c>
      <c r="H65" s="92">
        <v>24574.65</v>
      </c>
      <c r="I65" s="92">
        <v>5372.459999999999</v>
      </c>
      <c r="J65" s="3">
        <f t="shared" si="12"/>
        <v>17263.670000000002</v>
      </c>
      <c r="K65" s="3">
        <f aca="true" t="shared" si="16" ref="K65:K78">H65-F65</f>
        <v>22624.65</v>
      </c>
      <c r="L65" s="3">
        <f aca="true" t="shared" si="17" ref="L65:L78">H65-E65</f>
        <v>8241.550000000001</v>
      </c>
      <c r="M65" s="3">
        <f aca="true" t="shared" si="18" ref="M65:M78">I65-G65</f>
        <v>4422.459999999999</v>
      </c>
      <c r="N65" s="45">
        <f t="shared" si="13"/>
        <v>3.3613345953620444</v>
      </c>
      <c r="O65" s="45">
        <f t="shared" si="14"/>
        <v>12.602384615384617</v>
      </c>
      <c r="P65" s="45">
        <f t="shared" si="15"/>
        <v>1.5045919023332988</v>
      </c>
    </row>
    <row r="66" spans="1:16" ht="15.75">
      <c r="A66" s="135"/>
      <c r="B66" s="135"/>
      <c r="C66" s="7" t="s">
        <v>95</v>
      </c>
      <c r="D66" s="39">
        <v>1935.6</v>
      </c>
      <c r="E66" s="3">
        <v>0</v>
      </c>
      <c r="F66" s="3">
        <f aca="true" t="shared" si="19" ref="F66:F74">G66</f>
        <v>0</v>
      </c>
      <c r="G66" s="3">
        <v>0</v>
      </c>
      <c r="H66" s="92">
        <v>795.93</v>
      </c>
      <c r="I66" s="92">
        <v>422.35</v>
      </c>
      <c r="J66" s="3">
        <f t="shared" si="12"/>
        <v>-1139.67</v>
      </c>
      <c r="K66" s="3">
        <f t="shared" si="16"/>
        <v>795.93</v>
      </c>
      <c r="L66" s="3">
        <f t="shared" si="17"/>
        <v>795.93</v>
      </c>
      <c r="M66" s="3">
        <f t="shared" si="18"/>
        <v>422.35</v>
      </c>
      <c r="N66" s="45">
        <f t="shared" si="13"/>
        <v>0.41120582765034097</v>
      </c>
      <c r="O66" s="45">
        <f t="shared" si="14"/>
      </c>
      <c r="P66" s="45">
        <f t="shared" si="15"/>
      </c>
    </row>
    <row r="67" spans="1:16" ht="15.75">
      <c r="A67" s="103"/>
      <c r="B67" s="103"/>
      <c r="C67" s="60" t="s">
        <v>59</v>
      </c>
      <c r="D67" s="30">
        <f>SUM(D59:D66)</f>
        <v>54208.75000000003</v>
      </c>
      <c r="E67" s="30">
        <f>SUM(E59:E66)</f>
        <v>118804.7</v>
      </c>
      <c r="F67" s="30">
        <f>SUM(F59:F66)</f>
        <v>34417.9</v>
      </c>
      <c r="G67" s="30">
        <f>SUM(G59:G66)</f>
        <v>13801.8</v>
      </c>
      <c r="H67" s="30">
        <f>SUM(H59:H66)</f>
        <v>77673.39999999997</v>
      </c>
      <c r="I67" s="30">
        <f>SUM(I59:I66)</f>
        <v>27405.80999999998</v>
      </c>
      <c r="J67" s="67">
        <f t="shared" si="12"/>
        <v>23464.649999999936</v>
      </c>
      <c r="K67" s="67">
        <f t="shared" si="16"/>
        <v>43255.49999999996</v>
      </c>
      <c r="L67" s="67">
        <f t="shared" si="17"/>
        <v>-41131.30000000003</v>
      </c>
      <c r="M67" s="67">
        <f t="shared" si="18"/>
        <v>13604.00999999998</v>
      </c>
      <c r="N67" s="59">
        <f t="shared" si="13"/>
        <v>1.4328572416814616</v>
      </c>
      <c r="O67" s="59">
        <f t="shared" si="14"/>
        <v>2.256773365022269</v>
      </c>
      <c r="P67" s="59">
        <f t="shared" si="15"/>
        <v>0.6537906328621677</v>
      </c>
    </row>
    <row r="68" spans="1:18" ht="25.5" customHeight="1">
      <c r="A68" s="136" t="s">
        <v>60</v>
      </c>
      <c r="B68" s="136"/>
      <c r="C68" s="136"/>
      <c r="D68" s="68">
        <f>D5+D22</f>
        <v>6198326.789999999</v>
      </c>
      <c r="E68" s="97">
        <f>E5+E22</f>
        <v>26226995.930000003</v>
      </c>
      <c r="F68" s="68">
        <f>F5+F22</f>
        <v>5461196.109999999</v>
      </c>
      <c r="G68" s="68">
        <f>G5+G22</f>
        <v>459647.41000000003</v>
      </c>
      <c r="H68" s="68">
        <f>H5+H22</f>
        <v>5017122.859999999</v>
      </c>
      <c r="I68" s="68">
        <f>I5+I22</f>
        <v>703841.43</v>
      </c>
      <c r="J68" s="69">
        <f t="shared" si="12"/>
        <v>-1181203.9299999997</v>
      </c>
      <c r="K68" s="69">
        <f t="shared" si="16"/>
        <v>-444073.25</v>
      </c>
      <c r="L68" s="69">
        <f t="shared" si="17"/>
        <v>-21209873.070000004</v>
      </c>
      <c r="M68" s="69">
        <f t="shared" si="18"/>
        <v>244194.02000000002</v>
      </c>
      <c r="N68" s="70">
        <f t="shared" si="13"/>
        <v>0.8094318079670014</v>
      </c>
      <c r="O68" s="70">
        <f t="shared" si="14"/>
        <v>0.9186857162688487</v>
      </c>
      <c r="P68" s="70">
        <f t="shared" si="15"/>
        <v>0.19129613141324794</v>
      </c>
      <c r="Q68" s="73"/>
      <c r="R68" s="79"/>
    </row>
    <row r="69" spans="1:16" ht="33" customHeight="1">
      <c r="A69" s="137"/>
      <c r="B69" s="128"/>
      <c r="C69" s="53" t="s">
        <v>61</v>
      </c>
      <c r="D69" s="82">
        <f aca="true" t="shared" si="20" ref="D69:I69">SUM(D70:D77)</f>
        <v>5157403.4799999995</v>
      </c>
      <c r="E69" s="51">
        <f t="shared" si="20"/>
        <v>24219620.78</v>
      </c>
      <c r="F69" s="51">
        <f t="shared" si="20"/>
        <v>5925311.180000002</v>
      </c>
      <c r="G69" s="51">
        <f t="shared" si="20"/>
        <v>1973683.9699999997</v>
      </c>
      <c r="H69" s="51">
        <f t="shared" si="20"/>
        <v>5804264.86</v>
      </c>
      <c r="I69" s="51">
        <f t="shared" si="20"/>
        <v>1973719.4499999995</v>
      </c>
      <c r="J69" s="54">
        <f t="shared" si="12"/>
        <v>646861.3800000008</v>
      </c>
      <c r="K69" s="54">
        <f t="shared" si="16"/>
        <v>-121046.32000000123</v>
      </c>
      <c r="L69" s="54">
        <f t="shared" si="17"/>
        <v>-18415355.92</v>
      </c>
      <c r="M69" s="54">
        <f t="shared" si="18"/>
        <v>35.47999999974854</v>
      </c>
      <c r="N69" s="55">
        <f t="shared" si="13"/>
        <v>1.1254238460319186</v>
      </c>
      <c r="O69" s="55">
        <f t="shared" si="14"/>
        <v>0.9795713142613379</v>
      </c>
      <c r="P69" s="55">
        <f t="shared" si="15"/>
        <v>0.2396513517995718</v>
      </c>
    </row>
    <row r="70" spans="1:16" ht="31.5">
      <c r="A70" s="137"/>
      <c r="B70" s="128"/>
      <c r="C70" s="19" t="s">
        <v>62</v>
      </c>
      <c r="D70" s="39">
        <v>539943.4</v>
      </c>
      <c r="E70" s="19">
        <v>384548</v>
      </c>
      <c r="F70" s="3">
        <f>288577.9</f>
        <v>288577.9</v>
      </c>
      <c r="G70" s="3">
        <v>0</v>
      </c>
      <c r="H70" s="99">
        <v>288577.9</v>
      </c>
      <c r="I70" s="99">
        <v>0</v>
      </c>
      <c r="J70" s="3">
        <f aca="true" t="shared" si="21" ref="J70:J75">H70-D70</f>
        <v>-251365.5</v>
      </c>
      <c r="K70" s="3">
        <f>H70-F70</f>
        <v>0</v>
      </c>
      <c r="L70" s="3">
        <f>H70-E70</f>
        <v>-95970.09999999998</v>
      </c>
      <c r="M70" s="3">
        <f>I70-G70</f>
        <v>0</v>
      </c>
      <c r="N70" s="46">
        <f t="shared" si="13"/>
        <v>0.5344595377959986</v>
      </c>
      <c r="O70" s="46">
        <f t="shared" si="14"/>
        <v>1</v>
      </c>
      <c r="P70" s="46">
        <f t="shared" si="15"/>
        <v>0.7504340160396102</v>
      </c>
    </row>
    <row r="71" spans="1:16" ht="31.5">
      <c r="A71" s="137"/>
      <c r="B71" s="128"/>
      <c r="C71" s="20" t="s">
        <v>63</v>
      </c>
      <c r="D71" s="39">
        <v>428075.53</v>
      </c>
      <c r="E71" s="87">
        <v>6534340.88</v>
      </c>
      <c r="F71" s="3">
        <v>912766.6900000001</v>
      </c>
      <c r="G71" s="39">
        <v>606030.4199999999</v>
      </c>
      <c r="H71" s="99">
        <v>912766.6900000001</v>
      </c>
      <c r="I71" s="99">
        <v>606030.4199999999</v>
      </c>
      <c r="J71" s="3">
        <f t="shared" si="21"/>
        <v>484691.16000000003</v>
      </c>
      <c r="K71" s="88">
        <f>H71-F71</f>
        <v>0</v>
      </c>
      <c r="L71" s="3">
        <f>H71-E71</f>
        <v>-5621574.1899999995</v>
      </c>
      <c r="M71" s="3">
        <f>I71-G71</f>
        <v>0</v>
      </c>
      <c r="N71" s="46">
        <f t="shared" si="13"/>
        <v>2.1322561698399345</v>
      </c>
      <c r="O71" s="46">
        <f t="shared" si="14"/>
        <v>1</v>
      </c>
      <c r="P71" s="46">
        <f t="shared" si="15"/>
        <v>0.1396876451294044</v>
      </c>
    </row>
    <row r="72" spans="1:16" ht="31.5">
      <c r="A72" s="137"/>
      <c r="B72" s="128"/>
      <c r="C72" s="20" t="s">
        <v>64</v>
      </c>
      <c r="D72" s="39">
        <v>3337256.3000000007</v>
      </c>
      <c r="E72" s="87">
        <v>11845941.55</v>
      </c>
      <c r="F72" s="3">
        <v>3181306.980000001</v>
      </c>
      <c r="G72" s="39">
        <v>1054328.5999999999</v>
      </c>
      <c r="H72" s="99">
        <v>3181306.980000001</v>
      </c>
      <c r="I72" s="99">
        <v>1054328.5999999999</v>
      </c>
      <c r="J72" s="3">
        <f t="shared" si="21"/>
        <v>-155949.31999999983</v>
      </c>
      <c r="K72" s="88">
        <f>H72-F72</f>
        <v>0</v>
      </c>
      <c r="L72" s="3">
        <f t="shared" si="17"/>
        <v>-8664634.57</v>
      </c>
      <c r="M72" s="3">
        <f>I72-G72</f>
        <v>0</v>
      </c>
      <c r="N72" s="46">
        <f t="shared" si="13"/>
        <v>0.9532701998345168</v>
      </c>
      <c r="O72" s="46">
        <f t="shared" si="14"/>
        <v>1</v>
      </c>
      <c r="P72" s="46">
        <f t="shared" si="15"/>
        <v>0.2685567007546142</v>
      </c>
    </row>
    <row r="73" spans="1:16" ht="15.75">
      <c r="A73" s="137"/>
      <c r="B73" s="128"/>
      <c r="C73" s="9" t="s">
        <v>65</v>
      </c>
      <c r="D73" s="39">
        <v>866043.83</v>
      </c>
      <c r="E73" s="87">
        <v>5446783.48</v>
      </c>
      <c r="F73" s="3">
        <v>1534652.74</v>
      </c>
      <c r="G73" s="3">
        <v>313324.94999999995</v>
      </c>
      <c r="H73" s="92">
        <v>1534652.74</v>
      </c>
      <c r="I73" s="92">
        <v>313324.94999999995</v>
      </c>
      <c r="J73" s="3">
        <f t="shared" si="21"/>
        <v>668608.91</v>
      </c>
      <c r="K73" s="3">
        <f>H73-F73</f>
        <v>0</v>
      </c>
      <c r="L73" s="3">
        <f t="shared" si="17"/>
        <v>-3912130.74</v>
      </c>
      <c r="M73" s="3">
        <f t="shared" si="18"/>
        <v>0</v>
      </c>
      <c r="N73" s="46">
        <f t="shared" si="13"/>
        <v>1.7720266421157922</v>
      </c>
      <c r="O73" s="46">
        <f t="shared" si="14"/>
        <v>1</v>
      </c>
      <c r="P73" s="46">
        <f t="shared" si="15"/>
        <v>0.2817539462758303</v>
      </c>
    </row>
    <row r="74" spans="1:16" ht="47.25">
      <c r="A74" s="138"/>
      <c r="B74" s="140"/>
      <c r="C74" s="9" t="s">
        <v>80</v>
      </c>
      <c r="D74" s="39">
        <v>4.06</v>
      </c>
      <c r="E74" s="88"/>
      <c r="F74" s="3">
        <f t="shared" si="19"/>
        <v>0</v>
      </c>
      <c r="G74" s="3"/>
      <c r="H74" s="92">
        <v>387.89</v>
      </c>
      <c r="I74" s="92">
        <v>0</v>
      </c>
      <c r="J74" s="3">
        <f t="shared" si="21"/>
        <v>383.83</v>
      </c>
      <c r="K74" s="3">
        <f>H74-F74</f>
        <v>387.89</v>
      </c>
      <c r="L74" s="3">
        <f t="shared" si="17"/>
        <v>387.89</v>
      </c>
      <c r="M74" s="3">
        <f t="shared" si="18"/>
        <v>0</v>
      </c>
      <c r="N74" s="47">
        <f>_xlfn.IFERROR(H74/D74,"")</f>
        <v>95.53940886699507</v>
      </c>
      <c r="O74" s="47">
        <f t="shared" si="14"/>
      </c>
      <c r="P74" s="47">
        <f t="shared" si="15"/>
      </c>
    </row>
    <row r="75" spans="1:16" s="43" customFormat="1" ht="110.25">
      <c r="A75" s="139"/>
      <c r="B75" s="141"/>
      <c r="C75" s="33" t="s">
        <v>83</v>
      </c>
      <c r="D75" s="39"/>
      <c r="E75" s="80"/>
      <c r="F75" s="80"/>
      <c r="G75" s="80"/>
      <c r="H75" s="39">
        <v>15.63</v>
      </c>
      <c r="I75" s="39">
        <v>15.63</v>
      </c>
      <c r="J75" s="3">
        <f t="shared" si="21"/>
        <v>15.63</v>
      </c>
      <c r="K75" s="3">
        <f>H75-F75</f>
        <v>15.63</v>
      </c>
      <c r="L75" s="3">
        <f>H75-E75</f>
        <v>15.63</v>
      </c>
      <c r="M75" s="3">
        <f t="shared" si="18"/>
        <v>15.63</v>
      </c>
      <c r="N75" s="47">
        <f t="shared" si="13"/>
      </c>
      <c r="O75" s="47">
        <f t="shared" si="14"/>
      </c>
      <c r="P75" s="47">
        <f t="shared" si="15"/>
      </c>
    </row>
    <row r="76" spans="1:16" ht="47.25">
      <c r="A76" s="137"/>
      <c r="B76" s="128"/>
      <c r="C76" s="7" t="s">
        <v>66</v>
      </c>
      <c r="D76" s="39">
        <v>322904.97000000003</v>
      </c>
      <c r="E76" s="89">
        <v>8006.87</v>
      </c>
      <c r="F76" s="5">
        <v>8006.87</v>
      </c>
      <c r="G76" s="5">
        <v>0</v>
      </c>
      <c r="H76" s="92">
        <v>159777.43000000002</v>
      </c>
      <c r="I76" s="92">
        <v>24.67</v>
      </c>
      <c r="J76" s="3">
        <f t="shared" si="12"/>
        <v>-163127.54</v>
      </c>
      <c r="K76" s="3">
        <f t="shared" si="16"/>
        <v>151770.56000000003</v>
      </c>
      <c r="L76" s="3">
        <f t="shared" si="17"/>
        <v>151770.56000000003</v>
      </c>
      <c r="M76" s="3">
        <f t="shared" si="18"/>
        <v>24.67</v>
      </c>
      <c r="N76" s="46">
        <f t="shared" si="13"/>
        <v>0.49481254500356564</v>
      </c>
      <c r="O76" s="46">
        <f t="shared" si="14"/>
        <v>19.955042357375607</v>
      </c>
      <c r="P76" s="46">
        <f t="shared" si="15"/>
        <v>19.955042357375607</v>
      </c>
    </row>
    <row r="77" spans="1:16" ht="15.75">
      <c r="A77" s="137"/>
      <c r="B77" s="128"/>
      <c r="C77" s="7" t="s">
        <v>67</v>
      </c>
      <c r="D77" s="39">
        <v>-336824.6099999999</v>
      </c>
      <c r="E77" s="88"/>
      <c r="F77" s="3"/>
      <c r="G77" s="3"/>
      <c r="H77" s="92">
        <v>-273220.4</v>
      </c>
      <c r="I77" s="92">
        <v>-4.82</v>
      </c>
      <c r="J77" s="3">
        <f t="shared" si="12"/>
        <v>63604.209999999905</v>
      </c>
      <c r="K77" s="3">
        <f t="shared" si="16"/>
        <v>-273220.4</v>
      </c>
      <c r="L77" s="3">
        <f t="shared" si="17"/>
        <v>-273220.4</v>
      </c>
      <c r="M77" s="3">
        <f t="shared" si="18"/>
        <v>-4.82</v>
      </c>
      <c r="N77" s="46">
        <f t="shared" si="13"/>
        <v>0.8111651936596915</v>
      </c>
      <c r="O77" s="46">
        <f t="shared" si="14"/>
      </c>
      <c r="P77" s="46">
        <f t="shared" si="15"/>
      </c>
    </row>
    <row r="78" spans="1:16" ht="29.25" customHeight="1">
      <c r="A78" s="134" t="s">
        <v>68</v>
      </c>
      <c r="B78" s="134"/>
      <c r="C78" s="134"/>
      <c r="D78" s="81">
        <f>D68+D69</f>
        <v>11355730.27</v>
      </c>
      <c r="E78" s="90">
        <f>E68+E69</f>
        <v>50446616.71000001</v>
      </c>
      <c r="F78" s="71">
        <f>F68+F69</f>
        <v>11386507.290000001</v>
      </c>
      <c r="G78" s="71">
        <f>G68+G69</f>
        <v>2433331.38</v>
      </c>
      <c r="H78" s="71">
        <f>H68+H69</f>
        <v>10821387.719999999</v>
      </c>
      <c r="I78" s="71">
        <f>I68+I69</f>
        <v>2677560.8799999994</v>
      </c>
      <c r="J78" s="71">
        <f>J68+J69</f>
        <v>-534342.5499999989</v>
      </c>
      <c r="K78" s="49">
        <f t="shared" si="16"/>
        <v>-565119.5700000022</v>
      </c>
      <c r="L78" s="49">
        <f t="shared" si="17"/>
        <v>-39625228.99000001</v>
      </c>
      <c r="M78" s="49">
        <f t="shared" si="18"/>
        <v>244229.49999999953</v>
      </c>
      <c r="N78" s="70">
        <f t="shared" si="13"/>
        <v>0.9529451178131937</v>
      </c>
      <c r="O78" s="70">
        <f t="shared" si="14"/>
        <v>0.9503693665136184</v>
      </c>
      <c r="P78" s="70">
        <f t="shared" si="15"/>
        <v>0.21451166452268502</v>
      </c>
    </row>
    <row r="79" spans="1:16" ht="15.75">
      <c r="A79" s="21" t="s">
        <v>69</v>
      </c>
      <c r="B79" s="22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6"/>
      <c r="P79" s="25"/>
    </row>
    <row r="80" ht="12.75">
      <c r="D80" s="72"/>
    </row>
  </sheetData>
  <sheetProtection/>
  <autoFilter ref="A4:P80"/>
  <mergeCells count="35">
    <mergeCell ref="A78:C78"/>
    <mergeCell ref="A59:A67"/>
    <mergeCell ref="B59:B67"/>
    <mergeCell ref="A68:C68"/>
    <mergeCell ref="A69:A77"/>
    <mergeCell ref="B69:B77"/>
    <mergeCell ref="A1:P1"/>
    <mergeCell ref="A3:A4"/>
    <mergeCell ref="B3:B4"/>
    <mergeCell ref="C3:C4"/>
    <mergeCell ref="D3:D4"/>
    <mergeCell ref="E3:G3"/>
    <mergeCell ref="O3:O4"/>
    <mergeCell ref="P3:P4"/>
    <mergeCell ref="A57:A58"/>
    <mergeCell ref="B57:B58"/>
    <mergeCell ref="A30:A37"/>
    <mergeCell ref="B30:B37"/>
    <mergeCell ref="A38:A46"/>
    <mergeCell ref="B38:B46"/>
    <mergeCell ref="A47:A48"/>
    <mergeCell ref="B47:B48"/>
    <mergeCell ref="A49:A53"/>
    <mergeCell ref="B49:B53"/>
    <mergeCell ref="A54:A56"/>
    <mergeCell ref="B54:B56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.15748031496062992" right="0.15748031496062992" top="0.5118110236220472" bottom="0.1968503937007874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2023-04-21T11:19:08Z</cp:lastPrinted>
  <dcterms:created xsi:type="dcterms:W3CDTF">2015-02-26T11:08:47Z</dcterms:created>
  <dcterms:modified xsi:type="dcterms:W3CDTF">2023-04-24T10:45:43Z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