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0" activeTab="0"/>
  </bookViews>
  <sheets>
    <sheet name="01.05.2023" sheetId="1" r:id="rId1"/>
  </sheets>
  <definedNames>
    <definedName name="_xlfn.IFERROR" hidden="1">#NAME?</definedName>
    <definedName name="_xlnm._FilterDatabase" localSheetId="0" hidden="1">'01.05.2023'!$A$4:$O$80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'01.05.2023'!$3:$4</definedName>
    <definedName name="о">#REF!</definedName>
    <definedName name="_xlnm.Print_Area" localSheetId="0">'01.05.2023'!$A$1:$O$79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<sst xmlns="http://schemas.openxmlformats.org/spreadsheetml/2006/main" count="127" uniqueCount="102">
  <si>
    <t>Код адм.</t>
  </si>
  <si>
    <t xml:space="preserve">Администраторы, кураторы доходов    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</si>
  <si>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</si>
  <si>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</si>
  <si>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</si>
  <si>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</si>
  <si>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</si>
  <si>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</si>
  <si>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</si>
  <si>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</si>
  <si>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</si>
  <si>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</si>
  <si>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</si>
  <si>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</si>
  <si>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</si>
  <si>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</si>
  <si>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</si>
  <si>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</si>
  <si>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</si>
  <si>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</si>
  <si>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</si>
  <si>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</si>
  <si>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</si>
  <si>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</si>
  <si>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</si>
  <si>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</si>
  <si>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</si>
  <si>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</si>
  <si>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</si>
  <si>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</si>
  <si>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</si>
  <si>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</si>
  <si>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</si>
  <si>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</si>
  <si>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</si>
  <si>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</si>
  <si>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</si>
  <si>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</si>
  <si>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</si>
  <si>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</si>
  <si>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</si>
  <si>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</si>
  <si>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</si>
  <si>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</si>
  <si>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</si>
  <si>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</si>
  <si>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</si>
  <si>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</si>
  <si>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Штрафы, санкции, возмещение ущерба</t>
  </si>
  <si>
    <t>УЖО</t>
  </si>
  <si>
    <t>Плата за найм</t>
  </si>
  <si>
    <t>Доходы от продажи квартир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</si>
  <si>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</si>
  <si>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</si>
  <si>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</si>
  <si>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</si>
  <si>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</si>
  <si>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</si>
  <si>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</si>
  <si>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</si>
  <si>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</si>
  <si>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</si>
  <si>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</si>
  <si>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</si>
  <si>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</si>
  <si>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</si>
  <si>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</si>
  <si>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</si>
  <si>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</si>
  <si>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</si>
  <si>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</si>
  <si>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</si>
  <si>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</si>
  <si>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</si>
  <si>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</si>
  <si>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</si>
  <si>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</si>
  <si>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</si>
  <si>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</si>
  <si>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</si>
  <si>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</si>
  <si>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 xml:space="preserve">год </t>
  </si>
  <si>
    <t>Доходы от компенсации затрат государства (лпд )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</si>
  <si>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</si>
  <si>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</si>
  <si>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</si>
  <si>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</si>
  <si>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</si>
  <si>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</si>
  <si>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</si>
  <si>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</si>
  <si>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</si>
  <si>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</si>
  <si>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</si>
  <si>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Инициативные платежи</t>
  </si>
  <si>
    <t>Исполн. плана отч. периода</t>
  </si>
  <si>
    <t>Факт 2023г./ факт 2022г.</t>
  </si>
  <si>
    <t>январь-апрель</t>
  </si>
  <si>
    <t>апрель</t>
  </si>
  <si>
    <t>факта за апрель от плана апреля</t>
  </si>
  <si>
    <t>с нач. года на 01.05.2023 (по 28.04.2023 вкл.)</t>
  </si>
  <si>
    <t>Факт с нач. 2022 года      (по 30.04.22 вкл.)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</si>
</sst>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#,##0.000"/>
    <numFmt numFmtId="168" formatCode="0.000"/>
  </numFmts>
  <fonts count="41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40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5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164" fontId="6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6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164" fontId="4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164" fontId="3" fillId="33" borderId="11" xfId="0" applyNumberFormat="1" applyFont="1" applyFill="1" applyBorder="1" applyAlignment="1">
      <alignment horizontal="right" wrapText="1"/>
    </xf>
    <xf numFmtId="4" fontId="3" fillId="33" borderId="11" xfId="0" applyNumberFormat="1" applyFont="1" applyFill="1" applyBorder="1" applyAlignment="1">
      <alignment horizontal="right" wrapText="1"/>
    </xf>
    <xf numFmtId="164" fontId="3" fillId="33" borderId="11" xfId="0" applyNumberFormat="1" applyFont="1" applyFill="1" applyBorder="1" applyAlignment="1">
      <alignment horizontal="right" wrapText="1"/>
    </xf>
    <xf numFmtId="164" fontId="4" fillId="33" borderId="11" xfId="0" applyNumberFormat="1" applyFont="1" applyFill="1" applyBorder="1" applyAlignment="1">
      <alignment wrapText="1"/>
    </xf>
    <xf numFmtId="164" fontId="4" fillId="33" borderId="11" xfId="0" applyNumberFormat="1" applyFont="1" applyFill="1" applyBorder="1" applyAlignment="1">
      <alignment vertical="center" wrapText="1"/>
    </xf>
    <xf numFmtId="164" fontId="3" fillId="33" borderId="11" xfId="0" applyNumberFormat="1" applyFont="1" applyFill="1" applyBorder="1" applyAlignment="1">
      <alignment wrapText="1"/>
    </xf>
    <xf numFmtId="164" fontId="6" fillId="33" borderId="11" xfId="0" applyNumberFormat="1" applyFont="1" applyFill="1" applyBorder="1" applyAlignment="1">
      <alignment horizontal="right" wrapText="1"/>
    </xf>
    <xf numFmtId="4" fontId="4" fillId="33" borderId="11" xfId="0" applyNumberFormat="1" applyFont="1" applyFill="1" applyBorder="1" applyAlignment="1">
      <alignment vertical="center" wrapText="1"/>
    </xf>
    <xf numFmtId="164" fontId="4" fillId="33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9" fontId="4" fillId="0" borderId="11" xfId="14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13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2 2" xfId="70"/>
    <cellStyle name="Обычный 23" xfId="71"/>
    <cellStyle name="Обычный 24" xfId="72"/>
    <cellStyle name="Обычный 25" xfId="73"/>
    <cellStyle name="Обычный 26" xfId="74"/>
    <cellStyle name="Обычный 27" xfId="75"/>
    <cellStyle name="Обычный 28" xfId="76"/>
    <cellStyle name="Обычный 29" xfId="77"/>
    <cellStyle name="Обычный 3" xfId="78"/>
    <cellStyle name="Обычный 3 2" xfId="79"/>
    <cellStyle name="Обычный 3 3" xfId="80"/>
    <cellStyle name="Обычный 30" xfId="81"/>
    <cellStyle name="Обычный 31" xfId="82"/>
    <cellStyle name="Обычный 32" xfId="83"/>
    <cellStyle name="Обычный 33" xfId="84"/>
    <cellStyle name="Обычный 34" xfId="85"/>
    <cellStyle name="Обычный 35" xfId="86"/>
    <cellStyle name="Обычный 36" xfId="87"/>
    <cellStyle name="Обычный 37" xfId="88"/>
    <cellStyle name="Обычный 38" xfId="89"/>
    <cellStyle name="Обычный 39" xfId="90"/>
    <cellStyle name="Обычный 4" xfId="91"/>
    <cellStyle name="Обычный 40" xfId="92"/>
    <cellStyle name="Обычный 41" xfId="93"/>
    <cellStyle name="Обычный 42" xfId="94"/>
    <cellStyle name="Обычный 43" xfId="95"/>
    <cellStyle name="Обычный 44" xfId="96"/>
    <cellStyle name="Обычный 45" xfId="97"/>
    <cellStyle name="Обычный 46" xfId="98"/>
    <cellStyle name="Обычный 47" xfId="99"/>
    <cellStyle name="Обычный 48" xfId="100"/>
    <cellStyle name="Обычный 49" xfId="101"/>
    <cellStyle name="Обычный 5" xfId="102"/>
    <cellStyle name="Обычный 5 2" xfId="103"/>
    <cellStyle name="Обычный 50" xfId="104"/>
    <cellStyle name="Обычный 51" xfId="105"/>
    <cellStyle name="Обычный 52" xfId="106"/>
    <cellStyle name="Обычный 53" xfId="107"/>
    <cellStyle name="Обычный 54" xfId="108"/>
    <cellStyle name="Обычный 55" xfId="109"/>
    <cellStyle name="Обычный 56" xfId="110"/>
    <cellStyle name="Обычный 57" xfId="111"/>
    <cellStyle name="Обычный 58" xfId="112"/>
    <cellStyle name="Обычный 59" xfId="113"/>
    <cellStyle name="Обычный 6" xfId="114"/>
    <cellStyle name="Обычный 60" xfId="115"/>
    <cellStyle name="Обычный 61" xfId="116"/>
    <cellStyle name="Обычный 62" xfId="117"/>
    <cellStyle name="Обычный 63" xfId="118"/>
    <cellStyle name="Обычный 64" xfId="119"/>
    <cellStyle name="Обычный 65" xfId="120"/>
    <cellStyle name="Обычный 66" xfId="121"/>
    <cellStyle name="Обычный 67" xfId="122"/>
    <cellStyle name="Обычный 68" xfId="123"/>
    <cellStyle name="Обычный 69" xfId="124"/>
    <cellStyle name="Обычный 7" xfId="125"/>
    <cellStyle name="Обычный 70" xfId="126"/>
    <cellStyle name="Обычный 71" xfId="127"/>
    <cellStyle name="Обычный 72" xfId="128"/>
    <cellStyle name="Обычный 73" xfId="129"/>
    <cellStyle name="Обычный 73 2" xfId="130"/>
    <cellStyle name="Обычный 74" xfId="131"/>
    <cellStyle name="Обычный 75" xfId="132"/>
    <cellStyle name="Обычный 76" xfId="133"/>
    <cellStyle name="Обычный 8" xfId="134"/>
    <cellStyle name="Обычный 9" xfId="135"/>
    <cellStyle name="Плохой" xfId="136"/>
    <cellStyle name="Пояснение" xfId="137"/>
    <cellStyle name="Примечание" xfId="138"/>
    <cellStyle name="Percent" xfId="139"/>
    <cellStyle name="Процентный 2" xfId="140"/>
    <cellStyle name="Процентный 2 2" xfId="141"/>
    <cellStyle name="Связанная ячейка" xfId="142"/>
    <cellStyle name="Текст предупреждения" xfId="143"/>
    <cellStyle name="Comma" xfId="144"/>
    <cellStyle name="Comma [0]" xfId="145"/>
    <cellStyle name="Финансовый 2" xfId="146"/>
    <cellStyle name="Финансовый 3" xfId="147"/>
    <cellStyle name="Хороший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tabSelected="1" zoomScale="89" zoomScaleNormal="89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44" sqref="C44"/>
    </sheetView>
  </sheetViews>
  <sheetFormatPr defaultColWidth="9.00390625" defaultRowHeight="12.75"/>
  <cols>
    <col min="1" max="2" width="9.125" style="66" customWidth="1"/>
    <col min="3" max="3" width="51.375" style="66" customWidth="1"/>
    <col min="4" max="4" width="14.625" style="25" customWidth="1"/>
    <col min="5" max="5" width="15.625" style="66" customWidth="1"/>
    <col min="6" max="7" width="13.00390625" style="66" customWidth="1"/>
    <col min="8" max="8" width="16.25390625" style="66" customWidth="1"/>
    <col min="9" max="9" width="13.875" style="66" customWidth="1"/>
    <col min="10" max="10" width="15.125" style="66" customWidth="1"/>
    <col min="11" max="11" width="14.375" style="66" customWidth="1"/>
    <col min="12" max="12" width="15.625" style="66" customWidth="1"/>
    <col min="13" max="13" width="13.75390625" style="66" customWidth="1"/>
    <col min="14" max="14" width="10.875" style="66" customWidth="1"/>
    <col min="15" max="15" width="10.125" style="66" customWidth="1"/>
    <col min="16" max="16" width="9.125" style="66" customWidth="1"/>
    <col min="17" max="17" width="15.75390625" style="66" customWidth="1"/>
    <col min="18" max="16384" width="9.125" style="66" customWidth="1"/>
  </cols>
  <sheetData>
    <row r="1" spans="1:15" ht="20.25">
      <c r="A1" s="11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20.25" customHeight="1">
      <c r="A2" s="31"/>
      <c r="B2" s="32"/>
      <c r="C2" s="29"/>
      <c r="D2" s="28"/>
      <c r="E2" s="29"/>
      <c r="F2" s="29"/>
      <c r="G2" s="34"/>
      <c r="H2" s="34"/>
      <c r="I2" s="34"/>
      <c r="J2" s="29"/>
      <c r="K2" s="29"/>
      <c r="L2" s="29"/>
      <c r="M2" s="29"/>
      <c r="N2" s="29"/>
      <c r="O2" s="27"/>
    </row>
    <row r="3" spans="1:15" ht="20.25" customHeight="1">
      <c r="A3" s="111" t="s">
        <v>0</v>
      </c>
      <c r="B3" s="108" t="s">
        <v>1</v>
      </c>
      <c r="C3" s="112" t="s">
        <v>2</v>
      </c>
      <c r="D3" s="114" t="s">
        <v>101</v>
      </c>
      <c r="E3" s="116" t="s">
        <v>83</v>
      </c>
      <c r="F3" s="117"/>
      <c r="G3" s="118"/>
      <c r="H3" s="116" t="s">
        <v>85</v>
      </c>
      <c r="I3" s="118"/>
      <c r="J3" s="116" t="s">
        <v>3</v>
      </c>
      <c r="K3" s="117"/>
      <c r="L3" s="117"/>
      <c r="M3" s="118"/>
      <c r="N3" s="120" t="s">
        <v>96</v>
      </c>
      <c r="O3" s="119" t="s">
        <v>95</v>
      </c>
    </row>
    <row r="4" spans="1:15" ht="63" customHeight="1">
      <c r="A4" s="111"/>
      <c r="B4" s="108"/>
      <c r="C4" s="113"/>
      <c r="D4" s="115"/>
      <c r="E4" s="1" t="s">
        <v>81</v>
      </c>
      <c r="F4" s="1" t="s">
        <v>97</v>
      </c>
      <c r="G4" s="1" t="s">
        <v>98</v>
      </c>
      <c r="H4" s="50" t="s">
        <v>100</v>
      </c>
      <c r="I4" s="1" t="s">
        <v>98</v>
      </c>
      <c r="J4" s="1" t="s">
        <v>86</v>
      </c>
      <c r="K4" s="1" t="s">
        <v>4</v>
      </c>
      <c r="L4" s="1" t="s">
        <v>87</v>
      </c>
      <c r="M4" s="1" t="s">
        <v>99</v>
      </c>
      <c r="N4" s="120"/>
      <c r="O4" s="119"/>
    </row>
    <row r="5" spans="1:15" ht="29.25" customHeight="1">
      <c r="A5" s="81"/>
      <c r="B5" s="82"/>
      <c r="C5" s="83" t="s">
        <v>5</v>
      </c>
      <c r="D5" s="99">
        <f>D17+D19+D21+D18+D20</f>
        <v>4676325.27</v>
      </c>
      <c r="E5" s="96">
        <f>E17+E19+E21+E18+E20</f>
        <v>20002935.000000004</v>
      </c>
      <c r="F5" s="96">
        <f>F17+F19+F21+F18+F20</f>
        <v>3442305.9</v>
      </c>
      <c r="G5" s="96">
        <f>G17+G19+G21+G18+G20</f>
        <v>-194713.09999999998</v>
      </c>
      <c r="H5" s="96">
        <f>H17+H19+H21+H18+H20</f>
        <v>4691177.070000001</v>
      </c>
      <c r="I5" s="96">
        <f>I17+I19+I21+I18+I20</f>
        <v>2057949.88</v>
      </c>
      <c r="J5" s="84">
        <f>H5-D5</f>
        <v>14851.800000001676</v>
      </c>
      <c r="K5" s="84">
        <f>H5-F5</f>
        <v>1248871.1700000013</v>
      </c>
      <c r="L5" s="84">
        <f>H5-E5</f>
        <v>-15311757.930000003</v>
      </c>
      <c r="M5" s="84">
        <f>I5-G5</f>
        <v>2252662.98</v>
      </c>
      <c r="N5" s="52">
        <f aca="true" t="shared" si="0" ref="N5:N36">_xlfn.IFERROR(H5/D5,"")</f>
        <v>1.0031759552944874</v>
      </c>
      <c r="O5" s="52">
        <f aca="true" t="shared" si="1" ref="O5:O36">_xlfn.IFERROR(H5/F5,"")</f>
        <v>1.3628007522515653</v>
      </c>
    </row>
    <row r="6" spans="1:18" ht="15.75">
      <c r="A6" s="136" t="s">
        <v>9</v>
      </c>
      <c r="B6" s="73" t="s">
        <v>10</v>
      </c>
      <c r="C6" s="4" t="s">
        <v>11</v>
      </c>
      <c r="D6" s="36">
        <v>3355726.639999999</v>
      </c>
      <c r="E6" s="5">
        <f>14235121.9+613644.6</f>
        <v>14848766.5</v>
      </c>
      <c r="F6" s="5">
        <v>2444701.2</v>
      </c>
      <c r="G6" s="5">
        <v>-351911.1</v>
      </c>
      <c r="H6" s="89">
        <f>2000433.37+734555.47+410233.1</f>
        <v>3145221.94</v>
      </c>
      <c r="I6" s="89">
        <f>4046.75000000001+734555.47+410233.1</f>
        <v>1148835.3199999998</v>
      </c>
      <c r="J6" s="5">
        <f aca="true" t="shared" si="2" ref="J6:J57">H6-D6</f>
        <v>-210504.69999999925</v>
      </c>
      <c r="K6" s="5">
        <f aca="true" t="shared" si="3" ref="K6:K64">H6-F6</f>
        <v>700520.7399999998</v>
      </c>
      <c r="L6" s="5">
        <f aca="true" t="shared" si="4" ref="L6:L64">H6-E6</f>
        <v>-11703544.56</v>
      </c>
      <c r="M6" s="5">
        <f>I6-G6</f>
        <v>1500746.42</v>
      </c>
      <c r="N6" s="44">
        <f t="shared" si="0"/>
        <v>0.9372700095738432</v>
      </c>
      <c r="O6" s="44">
        <f t="shared" si="1"/>
        <v>1.286546568554063</v>
      </c>
      <c r="R6" s="77"/>
    </row>
    <row r="7" spans="1:18" ht="15.75">
      <c r="A7" s="132"/>
      <c r="B7" s="73" t="s">
        <v>6</v>
      </c>
      <c r="C7" s="2" t="s">
        <v>7</v>
      </c>
      <c r="D7" s="35">
        <v>21076.46</v>
      </c>
      <c r="E7" s="3">
        <v>80057.5</v>
      </c>
      <c r="F7" s="3">
        <v>22570</v>
      </c>
      <c r="G7" s="3">
        <v>4720</v>
      </c>
      <c r="H7" s="90">
        <f>18432.26+327.39+5952.55</f>
        <v>24712.199999999997</v>
      </c>
      <c r="I7" s="90">
        <f>2.68+327.39+5952.55</f>
        <v>6282.62</v>
      </c>
      <c r="J7" s="3">
        <f>H7-D7</f>
        <v>3635.739999999998</v>
      </c>
      <c r="K7" s="3">
        <f>H7-F7</f>
        <v>2142.199999999997</v>
      </c>
      <c r="L7" s="3">
        <f>H7-E7</f>
        <v>-55345.3</v>
      </c>
      <c r="M7" s="3">
        <f>I7-G7</f>
        <v>1562.62</v>
      </c>
      <c r="N7" s="44">
        <f t="shared" si="0"/>
        <v>1.1725024031549889</v>
      </c>
      <c r="O7" s="44">
        <f t="shared" si="1"/>
        <v>1.0949136021267167</v>
      </c>
      <c r="R7" s="77"/>
    </row>
    <row r="8" spans="1:18" ht="15.75">
      <c r="A8" s="132"/>
      <c r="B8" s="73" t="s">
        <v>10</v>
      </c>
      <c r="C8" s="37" t="s">
        <v>88</v>
      </c>
      <c r="D8" s="36"/>
      <c r="E8" s="36">
        <v>1204375.9</v>
      </c>
      <c r="F8" s="36">
        <v>218966.3</v>
      </c>
      <c r="G8" s="36">
        <v>0</v>
      </c>
      <c r="H8" s="89">
        <f>204359.2+222866.09+37269.34</f>
        <v>464494.63</v>
      </c>
      <c r="I8" s="89">
        <f>44689.37+222866.09+37269.34</f>
        <v>304824.80000000005</v>
      </c>
      <c r="J8" s="5">
        <f>H8-D8</f>
        <v>464494.63</v>
      </c>
      <c r="K8" s="5">
        <f>H8-F8</f>
        <v>245528.33000000002</v>
      </c>
      <c r="L8" s="5">
        <f>H8-E8</f>
        <v>-739881.2699999999</v>
      </c>
      <c r="M8" s="5">
        <f aca="true" t="shared" si="5" ref="M8:M64">I8-G8</f>
        <v>304824.80000000005</v>
      </c>
      <c r="N8" s="44">
        <f t="shared" si="0"/>
      </c>
      <c r="O8" s="44">
        <f t="shared" si="1"/>
        <v>2.1213064750146486</v>
      </c>
      <c r="R8" s="77"/>
    </row>
    <row r="9" spans="1:18" ht="15.75">
      <c r="A9" s="132"/>
      <c r="B9" s="73" t="s">
        <v>10</v>
      </c>
      <c r="C9" s="4" t="s">
        <v>12</v>
      </c>
      <c r="D9" s="36">
        <v>1533.4299999999996</v>
      </c>
      <c r="E9" s="5"/>
      <c r="F9" s="5"/>
      <c r="G9" s="5"/>
      <c r="H9" s="90">
        <f>-3536+19.29</f>
        <v>-3516.71</v>
      </c>
      <c r="I9" s="90">
        <f>107.4+19.29</f>
        <v>126.69</v>
      </c>
      <c r="J9" s="5">
        <f t="shared" si="2"/>
        <v>-5050.139999999999</v>
      </c>
      <c r="K9" s="5">
        <f>H9-F9</f>
        <v>-3516.71</v>
      </c>
      <c r="L9" s="5">
        <f t="shared" si="4"/>
        <v>-3516.71</v>
      </c>
      <c r="M9" s="5">
        <f t="shared" si="5"/>
        <v>126.69</v>
      </c>
      <c r="N9" s="44">
        <f t="shared" si="0"/>
        <v>-2.293361940225508</v>
      </c>
      <c r="O9" s="44">
        <f t="shared" si="1"/>
      </c>
      <c r="R9" s="77"/>
    </row>
    <row r="10" spans="1:18" ht="15.75">
      <c r="A10" s="132"/>
      <c r="B10" s="73" t="s">
        <v>10</v>
      </c>
      <c r="C10" s="4" t="s">
        <v>13</v>
      </c>
      <c r="D10" s="36">
        <v>2130.3100000000004</v>
      </c>
      <c r="E10" s="5">
        <v>4690.3</v>
      </c>
      <c r="F10" s="5">
        <v>2720.4</v>
      </c>
      <c r="G10" s="5">
        <v>0</v>
      </c>
      <c r="H10" s="91">
        <f>-1460.07+5.1</f>
        <v>-1454.97</v>
      </c>
      <c r="I10" s="91">
        <f>-1505.69+5.1</f>
        <v>-1500.5900000000001</v>
      </c>
      <c r="J10" s="5">
        <f t="shared" si="2"/>
        <v>-3585.2800000000007</v>
      </c>
      <c r="K10" s="5">
        <f t="shared" si="3"/>
        <v>-4175.37</v>
      </c>
      <c r="L10" s="5">
        <f t="shared" si="4"/>
        <v>-6145.27</v>
      </c>
      <c r="M10" s="5">
        <f t="shared" si="5"/>
        <v>-1500.5900000000001</v>
      </c>
      <c r="N10" s="44">
        <f t="shared" si="0"/>
        <v>-0.6829851054541357</v>
      </c>
      <c r="O10" s="44">
        <f t="shared" si="1"/>
        <v>-0.534836788707543</v>
      </c>
      <c r="R10" s="77"/>
    </row>
    <row r="11" spans="1:18" ht="31.5">
      <c r="A11" s="132"/>
      <c r="B11" s="73" t="s">
        <v>10</v>
      </c>
      <c r="C11" s="4" t="s">
        <v>90</v>
      </c>
      <c r="D11" s="36">
        <v>98462.48999999998</v>
      </c>
      <c r="E11" s="5">
        <v>314766.5</v>
      </c>
      <c r="F11" s="5">
        <v>118216</v>
      </c>
      <c r="G11" s="5">
        <v>116393</v>
      </c>
      <c r="H11" s="91">
        <f>90797.73+345.92-189.36</f>
        <v>90954.29</v>
      </c>
      <c r="I11" s="91">
        <f>128913.51+345.92-189.36</f>
        <v>129070.06999999999</v>
      </c>
      <c r="J11" s="5">
        <f t="shared" si="2"/>
        <v>-7508.1999999999825</v>
      </c>
      <c r="K11" s="5">
        <f t="shared" si="3"/>
        <v>-27261.710000000006</v>
      </c>
      <c r="L11" s="5">
        <f t="shared" si="4"/>
        <v>-223812.21000000002</v>
      </c>
      <c r="M11" s="5">
        <f t="shared" si="5"/>
        <v>12677.069999999992</v>
      </c>
      <c r="N11" s="44">
        <f t="shared" si="0"/>
        <v>0.9237455806774744</v>
      </c>
      <c r="O11" s="44">
        <f t="shared" si="1"/>
        <v>0.7693906916153481</v>
      </c>
      <c r="R11" s="77"/>
    </row>
    <row r="12" spans="1:18" ht="15.75">
      <c r="A12" s="132"/>
      <c r="B12" s="73" t="s">
        <v>14</v>
      </c>
      <c r="C12" s="4" t="s">
        <v>15</v>
      </c>
      <c r="D12" s="36">
        <v>46651</v>
      </c>
      <c r="E12" s="5">
        <v>1083466.2</v>
      </c>
      <c r="F12" s="5">
        <v>54200</v>
      </c>
      <c r="G12" s="5">
        <v>8900</v>
      </c>
      <c r="H12" s="91">
        <f>20856.28+1719.86+329.3</f>
        <v>22905.44</v>
      </c>
      <c r="I12" s="91">
        <f>4356.62+1719.86+329.3</f>
        <v>6405.78</v>
      </c>
      <c r="J12" s="5">
        <f t="shared" si="2"/>
        <v>-23745.56</v>
      </c>
      <c r="K12" s="5">
        <f t="shared" si="3"/>
        <v>-31294.56</v>
      </c>
      <c r="L12" s="5">
        <f t="shared" si="4"/>
        <v>-1060560.76</v>
      </c>
      <c r="M12" s="5">
        <f t="shared" si="5"/>
        <v>-2494.2200000000003</v>
      </c>
      <c r="N12" s="44">
        <f t="shared" si="0"/>
        <v>0.49099569141068783</v>
      </c>
      <c r="O12" s="44">
        <f t="shared" si="1"/>
        <v>0.42260959409594095</v>
      </c>
      <c r="R12" s="77"/>
    </row>
    <row r="13" spans="1:18" ht="15.75">
      <c r="A13" s="132"/>
      <c r="B13" s="73" t="s">
        <v>73</v>
      </c>
      <c r="C13" s="4" t="s">
        <v>93</v>
      </c>
      <c r="D13" s="36">
        <v>247319.67999999996</v>
      </c>
      <c r="E13" s="5"/>
      <c r="F13" s="5"/>
      <c r="G13" s="5"/>
      <c r="H13" s="91">
        <v>0</v>
      </c>
      <c r="I13" s="91">
        <v>0</v>
      </c>
      <c r="J13" s="5">
        <f t="shared" si="2"/>
        <v>-247319.67999999996</v>
      </c>
      <c r="K13" s="5">
        <f t="shared" si="3"/>
        <v>0</v>
      </c>
      <c r="L13" s="5">
        <f t="shared" si="4"/>
        <v>0</v>
      </c>
      <c r="M13" s="5">
        <f t="shared" si="5"/>
        <v>0</v>
      </c>
      <c r="N13" s="44">
        <f t="shared" si="0"/>
        <v>0</v>
      </c>
      <c r="O13" s="44">
        <f t="shared" si="1"/>
      </c>
      <c r="R13" s="77"/>
    </row>
    <row r="14" spans="1:18" ht="15.75">
      <c r="A14" s="132"/>
      <c r="B14" s="73" t="s">
        <v>14</v>
      </c>
      <c r="C14" s="4" t="s">
        <v>16</v>
      </c>
      <c r="D14" s="36">
        <v>833511.7699999999</v>
      </c>
      <c r="E14" s="5">
        <v>2237196.9</v>
      </c>
      <c r="F14" s="5">
        <v>509100</v>
      </c>
      <c r="G14" s="5">
        <v>9200</v>
      </c>
      <c r="H14" s="91">
        <f>467465.73+332115.54+87795.42</f>
        <v>887376.6900000001</v>
      </c>
      <c r="I14" s="91">
        <f>26394.59+332115.54+87795.42</f>
        <v>446305.55</v>
      </c>
      <c r="J14" s="5">
        <f t="shared" si="2"/>
        <v>53864.92000000016</v>
      </c>
      <c r="K14" s="5">
        <f t="shared" si="3"/>
        <v>378276.69000000006</v>
      </c>
      <c r="L14" s="5">
        <f t="shared" si="4"/>
        <v>-1349820.21</v>
      </c>
      <c r="M14" s="5">
        <f t="shared" si="5"/>
        <v>437105.55</v>
      </c>
      <c r="N14" s="44">
        <f t="shared" si="0"/>
        <v>1.0646240664363986</v>
      </c>
      <c r="O14" s="44">
        <f t="shared" si="1"/>
        <v>1.7430302298173248</v>
      </c>
      <c r="R14" s="77"/>
    </row>
    <row r="15" spans="1:18" ht="15.75">
      <c r="A15" s="132"/>
      <c r="B15" s="73" t="s">
        <v>17</v>
      </c>
      <c r="C15" s="4" t="s">
        <v>18</v>
      </c>
      <c r="D15" s="36">
        <v>69482.03</v>
      </c>
      <c r="E15" s="5">
        <v>228385.6</v>
      </c>
      <c r="F15" s="5">
        <v>71455</v>
      </c>
      <c r="G15" s="5">
        <v>17875</v>
      </c>
      <c r="H15" s="92">
        <f>58528.83+787.78+1083.25</f>
        <v>60399.86</v>
      </c>
      <c r="I15" s="92">
        <f>15736.41+787.78+1083.25</f>
        <v>17607.44</v>
      </c>
      <c r="J15" s="5">
        <f t="shared" si="2"/>
        <v>-9082.169999999998</v>
      </c>
      <c r="K15" s="5">
        <f t="shared" si="3"/>
        <v>-11055.14</v>
      </c>
      <c r="L15" s="5">
        <f t="shared" si="4"/>
        <v>-167985.74</v>
      </c>
      <c r="M15" s="5">
        <f t="shared" si="5"/>
        <v>-267.5600000000013</v>
      </c>
      <c r="N15" s="44">
        <f t="shared" si="0"/>
        <v>0.8692874977889967</v>
      </c>
      <c r="O15" s="44">
        <f t="shared" si="1"/>
        <v>0.8452852844447555</v>
      </c>
      <c r="R15" s="77"/>
    </row>
    <row r="16" spans="1:18" ht="15.75">
      <c r="A16" s="132"/>
      <c r="B16" s="73" t="s">
        <v>14</v>
      </c>
      <c r="C16" s="4" t="s">
        <v>19</v>
      </c>
      <c r="D16" s="36">
        <v>18.06</v>
      </c>
      <c r="E16" s="5"/>
      <c r="F16" s="5"/>
      <c r="G16" s="5"/>
      <c r="H16" s="93">
        <v>-0.1</v>
      </c>
      <c r="I16" s="93">
        <v>0</v>
      </c>
      <c r="J16" s="5">
        <f t="shared" si="2"/>
        <v>-18.16</v>
      </c>
      <c r="K16" s="5">
        <f t="shared" si="3"/>
        <v>-0.1</v>
      </c>
      <c r="L16" s="5">
        <f t="shared" si="4"/>
        <v>-0.1</v>
      </c>
      <c r="M16" s="5">
        <f t="shared" si="5"/>
        <v>0</v>
      </c>
      <c r="N16" s="44">
        <f t="shared" si="0"/>
        <v>-0.005537098560354375</v>
      </c>
      <c r="O16" s="44">
        <f t="shared" si="1"/>
      </c>
      <c r="R16" s="77"/>
    </row>
    <row r="17" spans="1:18" ht="15.75">
      <c r="A17" s="133"/>
      <c r="B17" s="56"/>
      <c r="C17" s="57" t="s">
        <v>8</v>
      </c>
      <c r="D17" s="30">
        <f>SUM(D6:D16)</f>
        <v>4675911.869999999</v>
      </c>
      <c r="E17" s="30">
        <f>SUM(E6:E16)</f>
        <v>20001705.400000002</v>
      </c>
      <c r="F17" s="30">
        <f>SUM(F6:F16)</f>
        <v>3441928.9</v>
      </c>
      <c r="G17" s="30">
        <f>SUM(G6:G16)</f>
        <v>-194823.09999999998</v>
      </c>
      <c r="H17" s="30">
        <f>SUM(H6:H16)</f>
        <v>4691093.2700000005</v>
      </c>
      <c r="I17" s="30">
        <f>SUM(I6:I16)</f>
        <v>2057957.68</v>
      </c>
      <c r="J17" s="30">
        <f t="shared" si="2"/>
        <v>15181.400000001304</v>
      </c>
      <c r="K17" s="30">
        <f t="shared" si="3"/>
        <v>1249164.3700000006</v>
      </c>
      <c r="L17" s="30">
        <f t="shared" si="4"/>
        <v>-15310612.130000003</v>
      </c>
      <c r="M17" s="30">
        <f>I17-G17</f>
        <v>2252780.78</v>
      </c>
      <c r="N17" s="58">
        <f t="shared" si="0"/>
        <v>1.0032467250072448</v>
      </c>
      <c r="O17" s="58">
        <f t="shared" si="1"/>
        <v>1.362925675193349</v>
      </c>
      <c r="R17" s="77"/>
    </row>
    <row r="18" spans="1:18" ht="15.75">
      <c r="A18" s="74" t="s">
        <v>70</v>
      </c>
      <c r="B18" s="73" t="s">
        <v>21</v>
      </c>
      <c r="C18" s="4" t="s">
        <v>22</v>
      </c>
      <c r="D18" s="36">
        <v>32</v>
      </c>
      <c r="E18" s="5">
        <v>140</v>
      </c>
      <c r="F18" s="5">
        <v>45</v>
      </c>
      <c r="G18" s="5">
        <v>10</v>
      </c>
      <c r="H18" s="94">
        <v>20</v>
      </c>
      <c r="I18" s="94">
        <v>0</v>
      </c>
      <c r="J18" s="5">
        <f t="shared" si="2"/>
        <v>-12</v>
      </c>
      <c r="K18" s="5">
        <f t="shared" si="3"/>
        <v>-25</v>
      </c>
      <c r="L18" s="5">
        <f t="shared" si="4"/>
        <v>-120</v>
      </c>
      <c r="M18" s="5">
        <f t="shared" si="5"/>
        <v>-10</v>
      </c>
      <c r="N18" s="44">
        <f t="shared" si="0"/>
        <v>0.625</v>
      </c>
      <c r="O18" s="44">
        <f t="shared" si="1"/>
        <v>0.4444444444444444</v>
      </c>
      <c r="R18" s="77"/>
    </row>
    <row r="19" spans="1:18" ht="19.5" customHeight="1">
      <c r="A19" s="74" t="s">
        <v>20</v>
      </c>
      <c r="B19" s="73" t="s">
        <v>21</v>
      </c>
      <c r="C19" s="4" t="s">
        <v>89</v>
      </c>
      <c r="D19" s="36">
        <v>65.4</v>
      </c>
      <c r="E19" s="5"/>
      <c r="F19" s="5"/>
      <c r="G19" s="5"/>
      <c r="H19" s="94">
        <v>42.4</v>
      </c>
      <c r="I19" s="94">
        <v>8</v>
      </c>
      <c r="J19" s="5">
        <f t="shared" si="2"/>
        <v>-23.000000000000007</v>
      </c>
      <c r="K19" s="5">
        <f t="shared" si="3"/>
        <v>42.4</v>
      </c>
      <c r="L19" s="5">
        <f t="shared" si="4"/>
        <v>42.4</v>
      </c>
      <c r="M19" s="5">
        <f t="shared" si="5"/>
        <v>8</v>
      </c>
      <c r="N19" s="44">
        <f t="shared" si="0"/>
        <v>0.6483180428134556</v>
      </c>
      <c r="O19" s="44">
        <f t="shared" si="1"/>
      </c>
      <c r="R19" s="77"/>
    </row>
    <row r="20" spans="1:18" ht="31.5">
      <c r="A20" s="75" t="s">
        <v>24</v>
      </c>
      <c r="B20" s="76" t="s">
        <v>72</v>
      </c>
      <c r="C20" s="4" t="s">
        <v>25</v>
      </c>
      <c r="D20" s="36">
        <v>296</v>
      </c>
      <c r="E20" s="5">
        <v>969.6</v>
      </c>
      <c r="F20" s="5">
        <v>307</v>
      </c>
      <c r="G20" s="5">
        <v>85</v>
      </c>
      <c r="H20" s="94">
        <v>6.4</v>
      </c>
      <c r="I20" s="94">
        <v>-20.8</v>
      </c>
      <c r="J20" s="5">
        <f t="shared" si="2"/>
        <v>-289.6</v>
      </c>
      <c r="K20" s="5">
        <f t="shared" si="3"/>
        <v>-300.6</v>
      </c>
      <c r="L20" s="5">
        <f t="shared" si="4"/>
        <v>-963.2</v>
      </c>
      <c r="M20" s="5">
        <f t="shared" si="5"/>
        <v>-105.8</v>
      </c>
      <c r="N20" s="44">
        <f t="shared" si="0"/>
        <v>0.021621621621621623</v>
      </c>
      <c r="O20" s="44">
        <f t="shared" si="1"/>
        <v>0.020846905537459284</v>
      </c>
      <c r="R20" s="77"/>
    </row>
    <row r="21" spans="1:18" ht="31.5">
      <c r="A21" s="74" t="s">
        <v>23</v>
      </c>
      <c r="B21" s="73" t="s">
        <v>10</v>
      </c>
      <c r="C21" s="4" t="s">
        <v>74</v>
      </c>
      <c r="D21" s="36">
        <v>20</v>
      </c>
      <c r="E21" s="5">
        <v>120</v>
      </c>
      <c r="F21" s="5">
        <v>25</v>
      </c>
      <c r="G21" s="5">
        <v>15</v>
      </c>
      <c r="H21" s="94">
        <v>15</v>
      </c>
      <c r="I21" s="94">
        <v>5</v>
      </c>
      <c r="J21" s="5">
        <f t="shared" si="2"/>
        <v>-5</v>
      </c>
      <c r="K21" s="5">
        <f t="shared" si="3"/>
        <v>-10</v>
      </c>
      <c r="L21" s="5">
        <f t="shared" si="4"/>
        <v>-105</v>
      </c>
      <c r="M21" s="5">
        <f t="shared" si="5"/>
        <v>-10</v>
      </c>
      <c r="N21" s="44">
        <f t="shared" si="0"/>
        <v>0.75</v>
      </c>
      <c r="O21" s="44">
        <f t="shared" si="1"/>
        <v>0.6</v>
      </c>
      <c r="R21" s="77"/>
    </row>
    <row r="22" spans="1:18" ht="27.75" customHeight="1">
      <c r="A22" s="137"/>
      <c r="B22" s="137"/>
      <c r="C22" s="53" t="s">
        <v>26</v>
      </c>
      <c r="D22" s="99">
        <f>D26+D29+D37+D46+D48+D53+D56+D58+D67</f>
        <v>1844776.0599999998</v>
      </c>
      <c r="E22" s="100">
        <f>E26+E29+E37+E46+E48+E53+E56+E58+E67</f>
        <v>6224060.930000001</v>
      </c>
      <c r="F22" s="100">
        <f>F26+F29+F37+F46+F48+F53+F56+F58+F67</f>
        <v>2018890.21</v>
      </c>
      <c r="G22" s="100">
        <f>G26+G29+G37+G46+G48+G53+G56+G58+G67</f>
        <v>654360.51</v>
      </c>
      <c r="H22" s="100">
        <f>H26+H29+H37+H46+H48+H53+H56+H58+H67</f>
        <v>2314554.7199999997</v>
      </c>
      <c r="I22" s="100">
        <f>I26+I29+I37+I46+I48+I53+I56+I58+I67</f>
        <v>634500.5199999999</v>
      </c>
      <c r="J22" s="84">
        <f t="shared" si="2"/>
        <v>469778.6599999999</v>
      </c>
      <c r="K22" s="84">
        <f t="shared" si="3"/>
        <v>295664.5099999998</v>
      </c>
      <c r="L22" s="84">
        <f t="shared" si="4"/>
        <v>-3909506.210000001</v>
      </c>
      <c r="M22" s="84">
        <f t="shared" si="5"/>
        <v>-19859.990000000107</v>
      </c>
      <c r="N22" s="52">
        <f t="shared" si="0"/>
        <v>1.2546534889443437</v>
      </c>
      <c r="O22" s="52">
        <f t="shared" si="1"/>
        <v>1.146449028548214</v>
      </c>
      <c r="Q22" s="6"/>
      <c r="R22" s="77"/>
    </row>
    <row r="23" spans="1:15" ht="31.5">
      <c r="A23" s="127" t="s">
        <v>24</v>
      </c>
      <c r="B23" s="129" t="s">
        <v>72</v>
      </c>
      <c r="C23" s="7" t="s">
        <v>91</v>
      </c>
      <c r="D23" s="40">
        <v>35969.61</v>
      </c>
      <c r="E23" s="5">
        <f>135475.5+25225.6</f>
        <v>160701.1</v>
      </c>
      <c r="F23" s="5">
        <v>46850</v>
      </c>
      <c r="G23" s="5">
        <v>13600</v>
      </c>
      <c r="H23" s="38">
        <v>50826.67</v>
      </c>
      <c r="I23" s="38">
        <v>13550.359999999999</v>
      </c>
      <c r="J23" s="8">
        <f t="shared" si="2"/>
        <v>14857.059999999998</v>
      </c>
      <c r="K23" s="8">
        <f t="shared" si="3"/>
        <v>3976.6699999999983</v>
      </c>
      <c r="L23" s="8">
        <f t="shared" si="4"/>
        <v>-109874.43000000001</v>
      </c>
      <c r="M23" s="8">
        <f t="shared" si="5"/>
        <v>-49.64000000000124</v>
      </c>
      <c r="N23" s="45">
        <f t="shared" si="0"/>
        <v>1.413044789754462</v>
      </c>
      <c r="O23" s="45">
        <f t="shared" si="1"/>
        <v>1.0848808964781216</v>
      </c>
    </row>
    <row r="24" spans="1:15" ht="15.75">
      <c r="A24" s="132"/>
      <c r="B24" s="134"/>
      <c r="C24" s="7" t="s">
        <v>27</v>
      </c>
      <c r="D24" s="39">
        <v>3971.23</v>
      </c>
      <c r="E24" s="5">
        <v>31937.8</v>
      </c>
      <c r="F24" s="5">
        <f>G24</f>
        <v>31937.8</v>
      </c>
      <c r="G24" s="5">
        <v>31937.8</v>
      </c>
      <c r="H24" s="17">
        <v>39519.14</v>
      </c>
      <c r="I24" s="17">
        <v>29684.64</v>
      </c>
      <c r="J24" s="5">
        <f t="shared" si="2"/>
        <v>35547.909999999996</v>
      </c>
      <c r="K24" s="5">
        <f t="shared" si="3"/>
        <v>7581.34</v>
      </c>
      <c r="L24" s="5">
        <f t="shared" si="4"/>
        <v>7581.34</v>
      </c>
      <c r="M24" s="5">
        <f t="shared" si="5"/>
        <v>-2253.16</v>
      </c>
      <c r="N24" s="45">
        <f t="shared" si="0"/>
        <v>9.951360157935953</v>
      </c>
      <c r="O24" s="45">
        <f t="shared" si="1"/>
        <v>1.2373782790298644</v>
      </c>
    </row>
    <row r="25" spans="1:15" ht="15.75">
      <c r="A25" s="132"/>
      <c r="B25" s="134"/>
      <c r="C25" s="7" t="s">
        <v>48</v>
      </c>
      <c r="D25" s="39">
        <v>23457.89</v>
      </c>
      <c r="E25" s="5">
        <f>110819.4+14383.9-8662.9</f>
        <v>116540.4</v>
      </c>
      <c r="F25" s="5">
        <v>31150</v>
      </c>
      <c r="G25" s="5">
        <v>8200</v>
      </c>
      <c r="H25" s="39">
        <v>31826.929999999997</v>
      </c>
      <c r="I25" s="39">
        <v>7911.669999999999</v>
      </c>
      <c r="J25" s="8">
        <f t="shared" si="2"/>
        <v>8369.039999999997</v>
      </c>
      <c r="K25" s="8">
        <f t="shared" si="3"/>
        <v>676.9299999999967</v>
      </c>
      <c r="L25" s="8">
        <f t="shared" si="4"/>
        <v>-84713.47</v>
      </c>
      <c r="M25" s="8">
        <f t="shared" si="5"/>
        <v>-288.33000000000084</v>
      </c>
      <c r="N25" s="45">
        <f t="shared" si="0"/>
        <v>1.356768660778953</v>
      </c>
      <c r="O25" s="45">
        <f t="shared" si="1"/>
        <v>1.0217313001605135</v>
      </c>
    </row>
    <row r="26" spans="1:15" ht="15.75">
      <c r="A26" s="133"/>
      <c r="B26" s="135"/>
      <c r="C26" s="57" t="s">
        <v>8</v>
      </c>
      <c r="D26" s="30">
        <f aca="true" t="shared" si="6" ref="D26:I26">SUM(D23:D25)</f>
        <v>63398.73</v>
      </c>
      <c r="E26" s="30">
        <f t="shared" si="6"/>
        <v>309179.3</v>
      </c>
      <c r="F26" s="30">
        <f t="shared" si="6"/>
        <v>109937.8</v>
      </c>
      <c r="G26" s="30">
        <f t="shared" si="6"/>
        <v>53737.8</v>
      </c>
      <c r="H26" s="30">
        <f t="shared" si="6"/>
        <v>122172.73999999999</v>
      </c>
      <c r="I26" s="30">
        <f t="shared" si="6"/>
        <v>51146.67</v>
      </c>
      <c r="J26" s="30">
        <f t="shared" si="2"/>
        <v>58774.00999999999</v>
      </c>
      <c r="K26" s="30">
        <f t="shared" si="3"/>
        <v>12234.939999999988</v>
      </c>
      <c r="L26" s="30">
        <f t="shared" si="4"/>
        <v>-187006.56</v>
      </c>
      <c r="M26" s="30">
        <f t="shared" si="5"/>
        <v>-2591.1300000000047</v>
      </c>
      <c r="N26" s="59">
        <f t="shared" si="0"/>
        <v>1.9270534283573186</v>
      </c>
      <c r="O26" s="59">
        <f t="shared" si="1"/>
        <v>1.1112896565148656</v>
      </c>
    </row>
    <row r="27" spans="1:15" ht="31.5">
      <c r="A27" s="102">
        <v>951</v>
      </c>
      <c r="B27" s="102" t="s">
        <v>10</v>
      </c>
      <c r="C27" s="9" t="s">
        <v>28</v>
      </c>
      <c r="D27" s="40">
        <v>23810.88</v>
      </c>
      <c r="E27" s="5">
        <v>91712.1</v>
      </c>
      <c r="F27" s="5">
        <v>24803</v>
      </c>
      <c r="G27" s="5">
        <v>5900</v>
      </c>
      <c r="H27" s="38">
        <v>26587.45</v>
      </c>
      <c r="I27" s="38">
        <v>9626.32</v>
      </c>
      <c r="J27" s="5">
        <f t="shared" si="2"/>
        <v>2776.5699999999997</v>
      </c>
      <c r="K27" s="5">
        <f t="shared" si="3"/>
        <v>1784.4500000000007</v>
      </c>
      <c r="L27" s="5">
        <f t="shared" si="4"/>
        <v>-65124.65000000001</v>
      </c>
      <c r="M27" s="5">
        <f t="shared" si="5"/>
        <v>3726.3199999999997</v>
      </c>
      <c r="N27" s="45">
        <f t="shared" si="0"/>
        <v>1.1166092979343896</v>
      </c>
      <c r="O27" s="45">
        <f t="shared" si="1"/>
        <v>1.0719449260170142</v>
      </c>
    </row>
    <row r="28" spans="1:15" ht="15.75">
      <c r="A28" s="102"/>
      <c r="B28" s="102"/>
      <c r="C28" s="7" t="s">
        <v>29</v>
      </c>
      <c r="D28" s="40">
        <v>2541.17</v>
      </c>
      <c r="E28" s="5">
        <v>14224.9</v>
      </c>
      <c r="F28" s="5">
        <v>1241.3</v>
      </c>
      <c r="G28" s="5">
        <v>599</v>
      </c>
      <c r="H28" s="38">
        <v>2960.47</v>
      </c>
      <c r="I28" s="38">
        <v>547.55</v>
      </c>
      <c r="J28" s="5">
        <f t="shared" si="2"/>
        <v>419.2999999999997</v>
      </c>
      <c r="K28" s="5">
        <f t="shared" si="3"/>
        <v>1719.1699999999998</v>
      </c>
      <c r="L28" s="5">
        <f t="shared" si="4"/>
        <v>-11264.43</v>
      </c>
      <c r="M28" s="5">
        <f t="shared" si="5"/>
        <v>-51.450000000000045</v>
      </c>
      <c r="N28" s="45">
        <f t="shared" si="0"/>
        <v>1.1650027349606675</v>
      </c>
      <c r="O28" s="45">
        <f t="shared" si="1"/>
        <v>2.3849754289857406</v>
      </c>
    </row>
    <row r="29" spans="1:15" ht="15.75">
      <c r="A29" s="102"/>
      <c r="B29" s="102"/>
      <c r="C29" s="60" t="s">
        <v>8</v>
      </c>
      <c r="D29" s="30">
        <f>D27+D28</f>
        <v>26352.050000000003</v>
      </c>
      <c r="E29" s="30">
        <f>E27+E28</f>
        <v>105937</v>
      </c>
      <c r="F29" s="30">
        <f>F27+F28</f>
        <v>26044.3</v>
      </c>
      <c r="G29" s="30">
        <f>G27+G28</f>
        <v>6499</v>
      </c>
      <c r="H29" s="30">
        <f>H27+H28</f>
        <v>29547.920000000002</v>
      </c>
      <c r="I29" s="30">
        <f>I27+I28</f>
        <v>10173.869999999999</v>
      </c>
      <c r="J29" s="30">
        <f t="shared" si="2"/>
        <v>3195.869999999999</v>
      </c>
      <c r="K29" s="30">
        <f t="shared" si="3"/>
        <v>3503.6200000000026</v>
      </c>
      <c r="L29" s="30">
        <f t="shared" si="4"/>
        <v>-76389.08</v>
      </c>
      <c r="M29" s="30">
        <f t="shared" si="5"/>
        <v>3674.869999999999</v>
      </c>
      <c r="N29" s="59">
        <f t="shared" si="0"/>
        <v>1.1212759538631718</v>
      </c>
      <c r="O29" s="59">
        <f t="shared" si="1"/>
        <v>1.1345254047910676</v>
      </c>
    </row>
    <row r="30" spans="1:15" ht="15.75">
      <c r="A30" s="121" t="s">
        <v>30</v>
      </c>
      <c r="B30" s="102" t="s">
        <v>31</v>
      </c>
      <c r="C30" s="7" t="s">
        <v>32</v>
      </c>
      <c r="D30" s="39"/>
      <c r="E30" s="3">
        <v>496</v>
      </c>
      <c r="F30" s="3">
        <f>G30</f>
        <v>0</v>
      </c>
      <c r="G30" s="3">
        <v>0</v>
      </c>
      <c r="H30" s="39">
        <v>0</v>
      </c>
      <c r="I30" s="39">
        <v>0</v>
      </c>
      <c r="J30" s="3">
        <f t="shared" si="2"/>
        <v>0</v>
      </c>
      <c r="K30" s="3">
        <f t="shared" si="3"/>
        <v>0</v>
      </c>
      <c r="L30" s="3">
        <f t="shared" si="4"/>
        <v>-496</v>
      </c>
      <c r="M30" s="3">
        <f t="shared" si="5"/>
        <v>0</v>
      </c>
      <c r="N30" s="45">
        <f t="shared" si="0"/>
      </c>
      <c r="O30" s="45">
        <f t="shared" si="1"/>
      </c>
    </row>
    <row r="31" spans="1:15" ht="15.75">
      <c r="A31" s="121"/>
      <c r="B31" s="102"/>
      <c r="C31" s="10" t="s">
        <v>33</v>
      </c>
      <c r="D31" s="39">
        <v>24565.29</v>
      </c>
      <c r="E31" s="3">
        <v>100081.7</v>
      </c>
      <c r="F31" s="3">
        <v>29500</v>
      </c>
      <c r="G31" s="3">
        <v>8500</v>
      </c>
      <c r="H31" s="39">
        <v>29797.51</v>
      </c>
      <c r="I31" s="39">
        <v>7163.84</v>
      </c>
      <c r="J31" s="3">
        <f t="shared" si="2"/>
        <v>5232.2199999999975</v>
      </c>
      <c r="K31" s="3">
        <f t="shared" si="3"/>
        <v>297.5099999999984</v>
      </c>
      <c r="L31" s="3">
        <f t="shared" si="4"/>
        <v>-70284.19</v>
      </c>
      <c r="M31" s="3">
        <f t="shared" si="5"/>
        <v>-1336.1599999999999</v>
      </c>
      <c r="N31" s="45">
        <f t="shared" si="0"/>
        <v>1.2129923969959238</v>
      </c>
      <c r="O31" s="45">
        <f t="shared" si="1"/>
        <v>1.0100850847457628</v>
      </c>
    </row>
    <row r="32" spans="1:15" ht="31.5">
      <c r="A32" s="121"/>
      <c r="B32" s="102"/>
      <c r="C32" s="9" t="s">
        <v>34</v>
      </c>
      <c r="D32" s="39">
        <v>271.92</v>
      </c>
      <c r="E32" s="3">
        <v>557</v>
      </c>
      <c r="F32" s="3">
        <v>185.6</v>
      </c>
      <c r="G32" s="3">
        <v>46.4</v>
      </c>
      <c r="H32" s="39">
        <v>3065.67</v>
      </c>
      <c r="I32" s="39">
        <v>504.09</v>
      </c>
      <c r="J32" s="3">
        <f t="shared" si="2"/>
        <v>2793.75</v>
      </c>
      <c r="K32" s="3">
        <f t="shared" si="3"/>
        <v>2880.07</v>
      </c>
      <c r="L32" s="3">
        <f t="shared" si="4"/>
        <v>2508.67</v>
      </c>
      <c r="M32" s="3">
        <f t="shared" si="5"/>
        <v>457.69</v>
      </c>
      <c r="N32" s="45">
        <f t="shared" si="0"/>
        <v>11.274161518093557</v>
      </c>
      <c r="O32" s="45">
        <f t="shared" si="1"/>
        <v>16.51761853448276</v>
      </c>
    </row>
    <row r="33" spans="1:15" ht="15.75">
      <c r="A33" s="121"/>
      <c r="B33" s="102"/>
      <c r="C33" s="9" t="s">
        <v>35</v>
      </c>
      <c r="D33" s="5">
        <f aca="true" t="shared" si="7" ref="D33:I33">D34+D36+D35</f>
        <v>24386.829999999998</v>
      </c>
      <c r="E33" s="5">
        <f t="shared" si="7"/>
        <v>200264</v>
      </c>
      <c r="F33" s="5">
        <f t="shared" si="7"/>
        <v>141149.9</v>
      </c>
      <c r="G33" s="5">
        <f t="shared" si="7"/>
        <v>42635.9</v>
      </c>
      <c r="H33" s="5">
        <f t="shared" si="7"/>
        <v>143315.53</v>
      </c>
      <c r="I33" s="5">
        <f t="shared" si="7"/>
        <v>5548.35</v>
      </c>
      <c r="J33" s="11">
        <f t="shared" si="2"/>
        <v>118928.7</v>
      </c>
      <c r="K33" s="11">
        <f t="shared" si="3"/>
        <v>2165.6300000000047</v>
      </c>
      <c r="L33" s="11">
        <f t="shared" si="4"/>
        <v>-56948.47</v>
      </c>
      <c r="M33" s="11">
        <f t="shared" si="5"/>
        <v>-37087.55</v>
      </c>
      <c r="N33" s="45">
        <f t="shared" si="0"/>
        <v>5.876759299999221</v>
      </c>
      <c r="O33" s="45">
        <f t="shared" si="1"/>
        <v>1.0153427668032355</v>
      </c>
    </row>
    <row r="34" spans="1:15" ht="15.75">
      <c r="A34" s="121"/>
      <c r="B34" s="102"/>
      <c r="C34" s="12" t="s">
        <v>36</v>
      </c>
      <c r="D34" s="41">
        <v>12393.08</v>
      </c>
      <c r="E34" s="98">
        <f>48594.6+85630.3+29092.9</f>
        <v>163317.8</v>
      </c>
      <c r="F34" s="98">
        <f>115493.1+14325.9</f>
        <v>129819</v>
      </c>
      <c r="G34" s="98">
        <f>26000+14325.9</f>
        <v>40325.9</v>
      </c>
      <c r="H34" s="41">
        <v>129059.32</v>
      </c>
      <c r="I34" s="41">
        <v>3162.08</v>
      </c>
      <c r="J34" s="13">
        <f t="shared" si="2"/>
        <v>116666.24</v>
      </c>
      <c r="K34" s="13">
        <f t="shared" si="3"/>
        <v>-759.679999999993</v>
      </c>
      <c r="L34" s="13">
        <f t="shared" si="4"/>
        <v>-34258.47999999998</v>
      </c>
      <c r="M34" s="13">
        <f t="shared" si="5"/>
        <v>-37163.82</v>
      </c>
      <c r="N34" s="45">
        <f t="shared" si="0"/>
        <v>10.413821261542733</v>
      </c>
      <c r="O34" s="45">
        <f t="shared" si="1"/>
        <v>0.9941481601306434</v>
      </c>
    </row>
    <row r="35" spans="1:15" ht="15.75">
      <c r="A35" s="121"/>
      <c r="B35" s="102"/>
      <c r="C35" s="12" t="s">
        <v>37</v>
      </c>
      <c r="D35" s="41">
        <v>1307.34</v>
      </c>
      <c r="E35" s="98">
        <v>1867.8</v>
      </c>
      <c r="F35" s="98">
        <v>160.3</v>
      </c>
      <c r="G35" s="98">
        <v>0</v>
      </c>
      <c r="H35" s="41">
        <v>560</v>
      </c>
      <c r="I35" s="41">
        <v>-133.33</v>
      </c>
      <c r="J35" s="13">
        <f t="shared" si="2"/>
        <v>-747.3399999999999</v>
      </c>
      <c r="K35" s="13">
        <f t="shared" si="3"/>
        <v>399.7</v>
      </c>
      <c r="L35" s="13">
        <f t="shared" si="4"/>
        <v>-1307.8</v>
      </c>
      <c r="M35" s="13">
        <f t="shared" si="5"/>
        <v>-133.33</v>
      </c>
      <c r="N35" s="45">
        <f t="shared" si="0"/>
        <v>0.4283506968347943</v>
      </c>
      <c r="O35" s="45">
        <f t="shared" si="1"/>
        <v>3.4934497816593884</v>
      </c>
    </row>
    <row r="36" spans="1:15" ht="15.75">
      <c r="A36" s="121"/>
      <c r="B36" s="102"/>
      <c r="C36" s="12" t="s">
        <v>38</v>
      </c>
      <c r="D36" s="30">
        <v>10686.41</v>
      </c>
      <c r="E36" s="5">
        <f>35078.4+85630.3-85630.3</f>
        <v>35078.40000000001</v>
      </c>
      <c r="F36" s="5">
        <v>11170.6</v>
      </c>
      <c r="G36" s="5">
        <v>2310</v>
      </c>
      <c r="H36" s="30">
        <v>13696.21</v>
      </c>
      <c r="I36" s="41">
        <v>2519.6</v>
      </c>
      <c r="J36" s="13">
        <f t="shared" si="2"/>
        <v>3009.7999999999993</v>
      </c>
      <c r="K36" s="13">
        <f t="shared" si="3"/>
        <v>2525.6099999999988</v>
      </c>
      <c r="L36" s="13">
        <f t="shared" si="4"/>
        <v>-21382.19000000001</v>
      </c>
      <c r="M36" s="13">
        <f t="shared" si="5"/>
        <v>209.5999999999999</v>
      </c>
      <c r="N36" s="45">
        <f t="shared" si="0"/>
        <v>1.2816474381948662</v>
      </c>
      <c r="O36" s="45">
        <f t="shared" si="1"/>
        <v>1.2260943906325532</v>
      </c>
    </row>
    <row r="37" spans="1:15" ht="15.75">
      <c r="A37" s="121"/>
      <c r="B37" s="121"/>
      <c r="C37" s="60" t="s">
        <v>8</v>
      </c>
      <c r="D37" s="30">
        <f>SUM(D30:D33)</f>
        <v>49224.03999999999</v>
      </c>
      <c r="E37" s="30">
        <f>SUM(E30:E33)</f>
        <v>301398.7</v>
      </c>
      <c r="F37" s="30">
        <f>SUM(F30:F33)</f>
        <v>170835.5</v>
      </c>
      <c r="G37" s="30">
        <f>SUM(G30:G33)</f>
        <v>51182.3</v>
      </c>
      <c r="H37" s="30">
        <v>176178.71000000002</v>
      </c>
      <c r="I37" s="30">
        <v>13216.280000000002</v>
      </c>
      <c r="J37" s="30">
        <f t="shared" si="2"/>
        <v>126954.67000000003</v>
      </c>
      <c r="K37" s="30">
        <f t="shared" si="3"/>
        <v>5343.210000000021</v>
      </c>
      <c r="L37" s="30">
        <f t="shared" si="4"/>
        <v>-125219.98999999999</v>
      </c>
      <c r="M37" s="30">
        <f t="shared" si="5"/>
        <v>-37966.020000000004</v>
      </c>
      <c r="N37" s="59">
        <f aca="true" t="shared" si="8" ref="N37:N63">_xlfn.IFERROR(H37/D37,"")</f>
        <v>3.57911926773991</v>
      </c>
      <c r="O37" s="59">
        <f aca="true" t="shared" si="9" ref="O37:O63">_xlfn.IFERROR(H37/F37,"")</f>
        <v>1.0312769301462519</v>
      </c>
    </row>
    <row r="38" spans="1:15" ht="31.5">
      <c r="A38" s="121" t="s">
        <v>71</v>
      </c>
      <c r="B38" s="102" t="s">
        <v>14</v>
      </c>
      <c r="C38" s="9" t="s">
        <v>40</v>
      </c>
      <c r="D38" s="40">
        <v>109578.65</v>
      </c>
      <c r="E38" s="5">
        <v>326627.4</v>
      </c>
      <c r="F38" s="5">
        <v>114800.5</v>
      </c>
      <c r="G38" s="5">
        <v>20200</v>
      </c>
      <c r="H38" s="40">
        <v>102427.86</v>
      </c>
      <c r="I38" s="40">
        <v>8417.44</v>
      </c>
      <c r="J38" s="11">
        <f t="shared" si="2"/>
        <v>-7150.789999999994</v>
      </c>
      <c r="K38" s="11">
        <f t="shared" si="3"/>
        <v>-12372.64</v>
      </c>
      <c r="L38" s="11">
        <f t="shared" si="4"/>
        <v>-224199.54000000004</v>
      </c>
      <c r="M38" s="11">
        <f t="shared" si="5"/>
        <v>-11782.56</v>
      </c>
      <c r="N38" s="45">
        <f t="shared" si="8"/>
        <v>0.9347428536489545</v>
      </c>
      <c r="O38" s="45">
        <f t="shared" si="9"/>
        <v>0.8922248596478238</v>
      </c>
    </row>
    <row r="39" spans="1:15" ht="31.5">
      <c r="A39" s="121"/>
      <c r="B39" s="102"/>
      <c r="C39" s="9" t="s">
        <v>41</v>
      </c>
      <c r="D39" s="40">
        <v>41792.65</v>
      </c>
      <c r="E39" s="5">
        <f>245061.4+9204.6</f>
        <v>254266</v>
      </c>
      <c r="F39" s="5">
        <v>56504.6</v>
      </c>
      <c r="G39" s="5">
        <v>12804.6</v>
      </c>
      <c r="H39" s="40">
        <v>144676.6</v>
      </c>
      <c r="I39" s="40">
        <v>103900.98999999999</v>
      </c>
      <c r="J39" s="11">
        <f t="shared" si="2"/>
        <v>102883.95000000001</v>
      </c>
      <c r="K39" s="11">
        <f t="shared" si="3"/>
        <v>88172</v>
      </c>
      <c r="L39" s="11">
        <f t="shared" si="4"/>
        <v>-109589.4</v>
      </c>
      <c r="M39" s="11">
        <f t="shared" si="5"/>
        <v>91096.38999999998</v>
      </c>
      <c r="N39" s="45">
        <f t="shared" si="8"/>
        <v>3.461771388031149</v>
      </c>
      <c r="O39" s="45">
        <f t="shared" si="9"/>
        <v>2.5604393270636376</v>
      </c>
    </row>
    <row r="40" spans="1:15" ht="31.5">
      <c r="A40" s="121"/>
      <c r="B40" s="102"/>
      <c r="C40" s="7" t="s">
        <v>42</v>
      </c>
      <c r="D40" s="40">
        <v>17178.09</v>
      </c>
      <c r="E40" s="5">
        <f>48566.2-5534.78</f>
        <v>43031.42</v>
      </c>
      <c r="F40" s="5">
        <v>14340</v>
      </c>
      <c r="G40" s="5">
        <v>3000</v>
      </c>
      <c r="H40" s="40">
        <v>13216.82</v>
      </c>
      <c r="I40" s="40">
        <v>250.61</v>
      </c>
      <c r="J40" s="5">
        <f t="shared" si="2"/>
        <v>-3961.2700000000004</v>
      </c>
      <c r="K40" s="5">
        <f t="shared" si="3"/>
        <v>-1123.1800000000003</v>
      </c>
      <c r="L40" s="5">
        <f t="shared" si="4"/>
        <v>-29814.6</v>
      </c>
      <c r="M40" s="5">
        <f t="shared" si="5"/>
        <v>-2749.39</v>
      </c>
      <c r="N40" s="45">
        <f t="shared" si="8"/>
        <v>0.7693998576093151</v>
      </c>
      <c r="O40" s="45">
        <f t="shared" si="9"/>
        <v>0.9216750348675035</v>
      </c>
    </row>
    <row r="41" spans="1:15" s="43" customFormat="1" ht="25.5" customHeight="1">
      <c r="A41" s="122"/>
      <c r="B41" s="125"/>
      <c r="C41" s="9" t="s">
        <v>41</v>
      </c>
      <c r="D41" s="40">
        <v>955.13</v>
      </c>
      <c r="E41" s="5"/>
      <c r="F41" s="5"/>
      <c r="G41" s="5"/>
      <c r="H41" s="40">
        <v>0</v>
      </c>
      <c r="I41" s="40">
        <v>0</v>
      </c>
      <c r="J41" s="5">
        <f t="shared" si="2"/>
        <v>-955.13</v>
      </c>
      <c r="K41" s="5">
        <f t="shared" si="3"/>
        <v>0</v>
      </c>
      <c r="L41" s="5">
        <f t="shared" si="4"/>
        <v>0</v>
      </c>
      <c r="M41" s="5">
        <f t="shared" si="5"/>
        <v>0</v>
      </c>
      <c r="N41" s="48">
        <f t="shared" si="8"/>
        <v>0</v>
      </c>
      <c r="O41" s="48">
        <f t="shared" si="9"/>
      </c>
    </row>
    <row r="42" spans="1:15" ht="31.5">
      <c r="A42" s="123"/>
      <c r="B42" s="103"/>
      <c r="C42" s="14" t="s">
        <v>75</v>
      </c>
      <c r="D42" s="40">
        <v>1466.25</v>
      </c>
      <c r="E42" s="5">
        <v>2948.3</v>
      </c>
      <c r="F42" s="5">
        <v>1412.3</v>
      </c>
      <c r="G42" s="5">
        <v>0</v>
      </c>
      <c r="H42" s="40">
        <v>1812.66</v>
      </c>
      <c r="I42" s="40">
        <v>159.19</v>
      </c>
      <c r="J42" s="5">
        <f t="shared" si="2"/>
        <v>346.4100000000001</v>
      </c>
      <c r="K42" s="5">
        <f t="shared" si="3"/>
        <v>400.3600000000001</v>
      </c>
      <c r="L42" s="5">
        <f t="shared" si="4"/>
        <v>-1135.64</v>
      </c>
      <c r="M42" s="5">
        <f t="shared" si="5"/>
        <v>159.19</v>
      </c>
      <c r="N42" s="45">
        <f t="shared" si="8"/>
        <v>1.2362557544757034</v>
      </c>
      <c r="O42" s="45">
        <f t="shared" si="9"/>
        <v>1.2834808468455712</v>
      </c>
    </row>
    <row r="43" spans="1:15" ht="15.75">
      <c r="A43" s="124"/>
      <c r="B43" s="126"/>
      <c r="C43" s="15" t="s">
        <v>79</v>
      </c>
      <c r="D43" s="40">
        <v>56.27</v>
      </c>
      <c r="E43" s="5"/>
      <c r="F43" s="5"/>
      <c r="G43" s="5"/>
      <c r="H43" s="40">
        <v>45.15</v>
      </c>
      <c r="I43" s="40">
        <v>11.27</v>
      </c>
      <c r="J43" s="5">
        <f t="shared" si="2"/>
        <v>-11.120000000000005</v>
      </c>
      <c r="K43" s="5">
        <f t="shared" si="3"/>
        <v>45.15</v>
      </c>
      <c r="L43" s="5">
        <f t="shared" si="4"/>
        <v>45.15</v>
      </c>
      <c r="M43" s="5">
        <f t="shared" si="5"/>
        <v>11.27</v>
      </c>
      <c r="N43" s="45">
        <f t="shared" si="8"/>
        <v>0.8023813755109294</v>
      </c>
      <c r="O43" s="45">
        <f t="shared" si="9"/>
      </c>
    </row>
    <row r="44" spans="1:15" ht="27.75" customHeight="1">
      <c r="A44" s="121"/>
      <c r="B44" s="102"/>
      <c r="C44" s="9" t="s">
        <v>43</v>
      </c>
      <c r="D44" s="40">
        <v>59059.08</v>
      </c>
      <c r="E44" s="3">
        <v>104142</v>
      </c>
      <c r="F44" s="3">
        <v>25240</v>
      </c>
      <c r="G44" s="3">
        <v>9400</v>
      </c>
      <c r="H44" s="40">
        <v>57555.69</v>
      </c>
      <c r="I44" s="40">
        <v>378.51</v>
      </c>
      <c r="J44" s="3">
        <f t="shared" si="2"/>
        <v>-1503.3899999999994</v>
      </c>
      <c r="K44" s="3">
        <f t="shared" si="3"/>
        <v>32315.690000000002</v>
      </c>
      <c r="L44" s="3">
        <f t="shared" si="4"/>
        <v>-46586.31</v>
      </c>
      <c r="M44" s="3">
        <f t="shared" si="5"/>
        <v>-9021.49</v>
      </c>
      <c r="N44" s="45">
        <f t="shared" si="8"/>
        <v>0.9745443037717486</v>
      </c>
      <c r="O44" s="45">
        <f t="shared" si="9"/>
        <v>2.2803363708399367</v>
      </c>
    </row>
    <row r="45" spans="1:15" ht="27.75" customHeight="1">
      <c r="A45" s="121"/>
      <c r="B45" s="102"/>
      <c r="C45" s="9" t="s">
        <v>44</v>
      </c>
      <c r="D45" s="39">
        <v>14502.14</v>
      </c>
      <c r="E45" s="3">
        <v>45272.2</v>
      </c>
      <c r="F45" s="3">
        <v>7800</v>
      </c>
      <c r="G45" s="3">
        <v>2400</v>
      </c>
      <c r="H45" s="39">
        <v>24039.16</v>
      </c>
      <c r="I45" s="39">
        <v>5230.72</v>
      </c>
      <c r="J45" s="3">
        <f t="shared" si="2"/>
        <v>9537.02</v>
      </c>
      <c r="K45" s="3">
        <f t="shared" si="3"/>
        <v>16239.16</v>
      </c>
      <c r="L45" s="3">
        <f t="shared" si="4"/>
        <v>-21233.039999999997</v>
      </c>
      <c r="M45" s="3">
        <f t="shared" si="5"/>
        <v>2830.7200000000003</v>
      </c>
      <c r="N45" s="45">
        <f t="shared" si="8"/>
        <v>1.657628460351369</v>
      </c>
      <c r="O45" s="45">
        <f t="shared" si="9"/>
        <v>3.08194358974359</v>
      </c>
    </row>
    <row r="46" spans="1:15" ht="15.75">
      <c r="A46" s="121"/>
      <c r="B46" s="121"/>
      <c r="C46" s="60" t="s">
        <v>8</v>
      </c>
      <c r="D46" s="30">
        <f>SUM(D38:D45)</f>
        <v>244588.26</v>
      </c>
      <c r="E46" s="30">
        <f>SUM(E38:E45)</f>
        <v>776287.3200000001</v>
      </c>
      <c r="F46" s="30">
        <f>SUM(F38:F45)</f>
        <v>220097.4</v>
      </c>
      <c r="G46" s="30">
        <f>SUM(G38:G45)</f>
        <v>47804.6</v>
      </c>
      <c r="H46" s="30">
        <f>SUM(H38:H45)</f>
        <v>343773.94</v>
      </c>
      <c r="I46" s="30">
        <f>SUM(I38:I45)</f>
        <v>118348.73</v>
      </c>
      <c r="J46" s="30">
        <f t="shared" si="2"/>
        <v>99185.68</v>
      </c>
      <c r="K46" s="30">
        <f t="shared" si="3"/>
        <v>123676.54000000001</v>
      </c>
      <c r="L46" s="30">
        <f t="shared" si="4"/>
        <v>-432513.38000000006</v>
      </c>
      <c r="M46" s="30">
        <f t="shared" si="5"/>
        <v>70544.13</v>
      </c>
      <c r="N46" s="45">
        <f t="shared" si="8"/>
        <v>1.4055210172393393</v>
      </c>
      <c r="O46" s="45">
        <f t="shared" si="9"/>
        <v>1.5619173147888163</v>
      </c>
    </row>
    <row r="47" spans="1:15" ht="15.75">
      <c r="A47" s="121" t="s">
        <v>45</v>
      </c>
      <c r="B47" s="102" t="s">
        <v>46</v>
      </c>
      <c r="C47" s="7" t="s">
        <v>27</v>
      </c>
      <c r="D47" s="39">
        <v>8187.13</v>
      </c>
      <c r="E47" s="3">
        <v>4487</v>
      </c>
      <c r="F47" s="3">
        <f>G47</f>
        <v>4487</v>
      </c>
      <c r="G47" s="3">
        <v>4487</v>
      </c>
      <c r="H47" s="39">
        <v>2731.14</v>
      </c>
      <c r="I47" s="39">
        <v>0</v>
      </c>
      <c r="J47" s="8">
        <f t="shared" si="2"/>
        <v>-5455.99</v>
      </c>
      <c r="K47" s="8">
        <f t="shared" si="3"/>
        <v>-1755.8600000000001</v>
      </c>
      <c r="L47" s="8">
        <f t="shared" si="4"/>
        <v>-1755.8600000000001</v>
      </c>
      <c r="M47" s="8">
        <f t="shared" si="5"/>
        <v>-4487</v>
      </c>
      <c r="N47" s="45">
        <f t="shared" si="8"/>
        <v>0.3335894263313273</v>
      </c>
      <c r="O47" s="45">
        <f t="shared" si="9"/>
        <v>0.6086784042790283</v>
      </c>
    </row>
    <row r="48" spans="1:15" ht="15.75">
      <c r="A48" s="121"/>
      <c r="B48" s="102"/>
      <c r="C48" s="61" t="s">
        <v>8</v>
      </c>
      <c r="D48" s="30">
        <f>D47</f>
        <v>8187.13</v>
      </c>
      <c r="E48" s="62">
        <f>SUM(E47:E47)</f>
        <v>4487</v>
      </c>
      <c r="F48" s="62">
        <f>SUM(F47:F47)</f>
        <v>4487</v>
      </c>
      <c r="G48" s="62">
        <f>SUM(G47:G47)</f>
        <v>4487</v>
      </c>
      <c r="H48" s="62">
        <v>2731.14</v>
      </c>
      <c r="I48" s="62">
        <v>0</v>
      </c>
      <c r="J48" s="63">
        <f t="shared" si="2"/>
        <v>-5455.99</v>
      </c>
      <c r="K48" s="63">
        <f t="shared" si="3"/>
        <v>-1755.8600000000001</v>
      </c>
      <c r="L48" s="63">
        <f t="shared" si="4"/>
        <v>-1755.8600000000001</v>
      </c>
      <c r="M48" s="63">
        <f t="shared" si="5"/>
        <v>-4487</v>
      </c>
      <c r="N48" s="45">
        <f t="shared" si="8"/>
        <v>0.3335894263313273</v>
      </c>
      <c r="O48" s="45">
        <f t="shared" si="9"/>
        <v>0.6086784042790283</v>
      </c>
    </row>
    <row r="49" spans="1:15" ht="15.75">
      <c r="A49" s="127"/>
      <c r="B49" s="129"/>
      <c r="C49" s="16" t="s">
        <v>82</v>
      </c>
      <c r="D49" s="39">
        <v>133533.7</v>
      </c>
      <c r="E49" s="86">
        <f>537127.7+16130.16</f>
        <v>553257.86</v>
      </c>
      <c r="F49" s="86">
        <f>166934.4+16130.16</f>
        <v>183064.56</v>
      </c>
      <c r="G49" s="3">
        <f>44405.8+16130.16</f>
        <v>60535.96000000001</v>
      </c>
      <c r="H49" s="39">
        <v>193438.17</v>
      </c>
      <c r="I49" s="39">
        <v>48891.14</v>
      </c>
      <c r="J49" s="8">
        <f t="shared" si="2"/>
        <v>59904.47</v>
      </c>
      <c r="K49" s="8">
        <f t="shared" si="3"/>
        <v>10373.610000000015</v>
      </c>
      <c r="L49" s="8">
        <f t="shared" si="4"/>
        <v>-359819.68999999994</v>
      </c>
      <c r="M49" s="8">
        <f t="shared" si="5"/>
        <v>-11644.820000000007</v>
      </c>
      <c r="N49" s="45">
        <f t="shared" si="8"/>
        <v>1.448609377258325</v>
      </c>
      <c r="O49" s="45">
        <f t="shared" si="9"/>
        <v>1.0566664022790648</v>
      </c>
    </row>
    <row r="50" spans="1:15" ht="15.75">
      <c r="A50" s="128"/>
      <c r="B50" s="130"/>
      <c r="C50" s="16" t="s">
        <v>76</v>
      </c>
      <c r="D50" s="39">
        <v>91258.11</v>
      </c>
      <c r="E50" s="90">
        <f>354489-4173.5</f>
        <v>350315.5</v>
      </c>
      <c r="F50" s="90">
        <f>123035.2-4173.5</f>
        <v>118861.7</v>
      </c>
      <c r="G50" s="39">
        <f>30213.6-4173.5</f>
        <v>26040.1</v>
      </c>
      <c r="H50" s="39">
        <v>113289.35</v>
      </c>
      <c r="I50" s="39">
        <v>28628.27</v>
      </c>
      <c r="J50" s="17">
        <f t="shared" si="2"/>
        <v>22031.240000000005</v>
      </c>
      <c r="K50" s="17">
        <f t="shared" si="3"/>
        <v>-5572.349999999991</v>
      </c>
      <c r="L50" s="17">
        <f t="shared" si="4"/>
        <v>-237026.15</v>
      </c>
      <c r="M50" s="17">
        <f t="shared" si="5"/>
        <v>2588.170000000002</v>
      </c>
      <c r="N50" s="45">
        <f t="shared" si="8"/>
        <v>1.2414167902447246</v>
      </c>
      <c r="O50" s="45">
        <f t="shared" si="9"/>
        <v>0.9531190450750747</v>
      </c>
    </row>
    <row r="51" spans="1:15" ht="31.5">
      <c r="A51" s="127"/>
      <c r="B51" s="129"/>
      <c r="C51" s="16" t="s">
        <v>77</v>
      </c>
      <c r="D51" s="39">
        <v>1145032.39</v>
      </c>
      <c r="E51" s="87">
        <f>3510723.4+35171.1+96433.35</f>
        <v>3642327.85</v>
      </c>
      <c r="F51" s="87">
        <f>1034102+96433.35</f>
        <v>1130535.35</v>
      </c>
      <c r="G51" s="5">
        <f>287600.5+96433.35</f>
        <v>384033.85</v>
      </c>
      <c r="H51" s="39">
        <v>1222876.59</v>
      </c>
      <c r="I51" s="39">
        <v>324758.93</v>
      </c>
      <c r="J51" s="8">
        <f t="shared" si="2"/>
        <v>77844.20000000019</v>
      </c>
      <c r="K51" s="8">
        <f t="shared" si="3"/>
        <v>92341.23999999999</v>
      </c>
      <c r="L51" s="8">
        <f t="shared" si="4"/>
        <v>-2419451.26</v>
      </c>
      <c r="M51" s="8">
        <f t="shared" si="5"/>
        <v>-59274.919999999984</v>
      </c>
      <c r="N51" s="45">
        <f t="shared" si="8"/>
        <v>1.0679842777198645</v>
      </c>
      <c r="O51" s="45">
        <f t="shared" si="9"/>
        <v>1.081679215072753</v>
      </c>
    </row>
    <row r="52" spans="1:15" ht="31.5">
      <c r="A52" s="128"/>
      <c r="B52" s="130"/>
      <c r="C52" s="16" t="s">
        <v>78</v>
      </c>
      <c r="D52" s="39">
        <v>972.1</v>
      </c>
      <c r="E52" s="3"/>
      <c r="F52" s="3">
        <v>0</v>
      </c>
      <c r="G52" s="3"/>
      <c r="H52" s="39">
        <v>443.52</v>
      </c>
      <c r="I52" s="39">
        <v>86.5</v>
      </c>
      <c r="J52" s="8">
        <f t="shared" si="2"/>
        <v>-528.58</v>
      </c>
      <c r="K52" s="8">
        <f t="shared" si="3"/>
        <v>443.52</v>
      </c>
      <c r="L52" s="8">
        <f t="shared" si="4"/>
        <v>443.52</v>
      </c>
      <c r="M52" s="8">
        <f t="shared" si="5"/>
        <v>86.5</v>
      </c>
      <c r="N52" s="45">
        <f t="shared" si="8"/>
        <v>0.4562493570620306</v>
      </c>
      <c r="O52" s="45">
        <f t="shared" si="9"/>
      </c>
    </row>
    <row r="53" spans="1:15" ht="15.75">
      <c r="A53" s="127"/>
      <c r="B53" s="129"/>
      <c r="C53" s="64" t="s">
        <v>8</v>
      </c>
      <c r="D53" s="65">
        <f>SUM(D49:D52)</f>
        <v>1370796.3</v>
      </c>
      <c r="E53" s="65">
        <f>SUM(E49:E52)</f>
        <v>4545901.21</v>
      </c>
      <c r="F53" s="65">
        <f>SUM(F49:F52)</f>
        <v>1432461.61</v>
      </c>
      <c r="G53" s="65">
        <f>SUM(G49:G52)</f>
        <v>470609.91</v>
      </c>
      <c r="H53" s="65">
        <f>SUM(H49:H52)</f>
        <v>1530047.6300000001</v>
      </c>
      <c r="I53" s="65">
        <f>SUM(I49:I52)</f>
        <v>402364.83999999997</v>
      </c>
      <c r="J53" s="65">
        <f t="shared" si="2"/>
        <v>159251.33000000007</v>
      </c>
      <c r="K53" s="65">
        <f t="shared" si="3"/>
        <v>97586.02000000002</v>
      </c>
      <c r="L53" s="65">
        <f t="shared" si="4"/>
        <v>-3015853.58</v>
      </c>
      <c r="M53" s="65">
        <f t="shared" si="5"/>
        <v>-68245.07</v>
      </c>
      <c r="N53" s="45">
        <f t="shared" si="8"/>
        <v>1.1161743214509698</v>
      </c>
      <c r="O53" s="45">
        <f t="shared" si="9"/>
        <v>1.0681247017852018</v>
      </c>
    </row>
    <row r="54" spans="1:15" ht="15.75">
      <c r="A54" s="131">
        <v>991</v>
      </c>
      <c r="B54" s="131" t="s">
        <v>49</v>
      </c>
      <c r="C54" s="9" t="s">
        <v>50</v>
      </c>
      <c r="D54" s="40">
        <v>17562.66</v>
      </c>
      <c r="E54" s="5">
        <v>54298.2</v>
      </c>
      <c r="F54" s="5">
        <v>17000</v>
      </c>
      <c r="G54" s="5">
        <v>4500</v>
      </c>
      <c r="H54" s="40">
        <v>17847.51</v>
      </c>
      <c r="I54" s="40">
        <v>4378.0199999999995</v>
      </c>
      <c r="J54" s="5">
        <f t="shared" si="2"/>
        <v>284.84999999999854</v>
      </c>
      <c r="K54" s="5">
        <f t="shared" si="3"/>
        <v>847.5099999999984</v>
      </c>
      <c r="L54" s="5">
        <f t="shared" si="4"/>
        <v>-36450.69</v>
      </c>
      <c r="M54" s="5">
        <f t="shared" si="5"/>
        <v>-121.98000000000047</v>
      </c>
      <c r="N54" s="45">
        <f t="shared" si="8"/>
        <v>1.0162190693209343</v>
      </c>
      <c r="O54" s="45">
        <f t="shared" si="9"/>
        <v>1.0498535294117646</v>
      </c>
    </row>
    <row r="55" spans="1:15" ht="15.75">
      <c r="A55" s="131"/>
      <c r="B55" s="131"/>
      <c r="C55" s="7" t="s">
        <v>51</v>
      </c>
      <c r="D55" s="40">
        <v>1849</v>
      </c>
      <c r="E55" s="5"/>
      <c r="F55" s="5"/>
      <c r="G55" s="5"/>
      <c r="H55" s="40">
        <v>2263.47</v>
      </c>
      <c r="I55" s="40">
        <v>0</v>
      </c>
      <c r="J55" s="5">
        <f t="shared" si="2"/>
        <v>414.4699999999998</v>
      </c>
      <c r="K55" s="5">
        <f t="shared" si="3"/>
        <v>2263.47</v>
      </c>
      <c r="L55" s="5">
        <f t="shared" si="4"/>
        <v>2263.47</v>
      </c>
      <c r="M55" s="5">
        <f t="shared" si="5"/>
        <v>0</v>
      </c>
      <c r="N55" s="48">
        <f t="shared" si="8"/>
        <v>1.2241590048674957</v>
      </c>
      <c r="O55" s="48">
        <f t="shared" si="9"/>
      </c>
    </row>
    <row r="56" spans="1:15" ht="15.75">
      <c r="A56" s="131"/>
      <c r="B56" s="131"/>
      <c r="C56" s="60" t="s">
        <v>8</v>
      </c>
      <c r="D56" s="30">
        <f>SUM(D54:D55)</f>
        <v>19411.66</v>
      </c>
      <c r="E56" s="30">
        <f>SUM(E54:E55)</f>
        <v>54298.2</v>
      </c>
      <c r="F56" s="30">
        <f>SUM(F54:F55)</f>
        <v>17000</v>
      </c>
      <c r="G56" s="30">
        <f>SUM(G54:G55)</f>
        <v>4500</v>
      </c>
      <c r="H56" s="30">
        <f>SUM(H54:H55)</f>
        <v>20110.98</v>
      </c>
      <c r="I56" s="30">
        <f>SUM(I54:I55)</f>
        <v>4378.0199999999995</v>
      </c>
      <c r="J56" s="30">
        <f t="shared" si="2"/>
        <v>699.3199999999997</v>
      </c>
      <c r="K56" s="30">
        <f t="shared" si="3"/>
        <v>3110.9799999999996</v>
      </c>
      <c r="L56" s="30">
        <f t="shared" si="4"/>
        <v>-34187.22</v>
      </c>
      <c r="M56" s="30">
        <f t="shared" si="5"/>
        <v>-121.98000000000047</v>
      </c>
      <c r="N56" s="59">
        <f t="shared" si="8"/>
        <v>1.0360257700783961</v>
      </c>
      <c r="O56" s="59">
        <f t="shared" si="9"/>
        <v>1.1829988235294118</v>
      </c>
    </row>
    <row r="57" spans="1:15" ht="31.5">
      <c r="A57" s="121" t="s">
        <v>52</v>
      </c>
      <c r="B57" s="102" t="s">
        <v>53</v>
      </c>
      <c r="C57" s="7" t="s">
        <v>54</v>
      </c>
      <c r="D57" s="40">
        <v>2047.8500000000001</v>
      </c>
      <c r="E57" s="5">
        <v>7767.5</v>
      </c>
      <c r="F57" s="5">
        <v>3608.7</v>
      </c>
      <c r="G57" s="5">
        <v>1738.1</v>
      </c>
      <c r="H57" s="38">
        <v>6572.78</v>
      </c>
      <c r="I57" s="38">
        <v>1720.76</v>
      </c>
      <c r="J57" s="5">
        <f t="shared" si="2"/>
        <v>4524.929999999999</v>
      </c>
      <c r="K57" s="5">
        <f t="shared" si="3"/>
        <v>2964.08</v>
      </c>
      <c r="L57" s="5">
        <f t="shared" si="4"/>
        <v>-1194.7200000000003</v>
      </c>
      <c r="M57" s="5">
        <f t="shared" si="5"/>
        <v>-17.339999999999918</v>
      </c>
      <c r="N57" s="45">
        <f t="shared" si="8"/>
        <v>3.2096003125228894</v>
      </c>
      <c r="O57" s="45">
        <f t="shared" si="9"/>
        <v>1.821370576661956</v>
      </c>
    </row>
    <row r="58" spans="1:15" ht="15.75">
      <c r="A58" s="121"/>
      <c r="B58" s="102"/>
      <c r="C58" s="60" t="s">
        <v>8</v>
      </c>
      <c r="D58" s="30">
        <f aca="true" t="shared" si="10" ref="D58:J58">D57</f>
        <v>2047.8500000000001</v>
      </c>
      <c r="E58" s="30">
        <f t="shared" si="10"/>
        <v>7767.5</v>
      </c>
      <c r="F58" s="30">
        <f t="shared" si="10"/>
        <v>3608.7</v>
      </c>
      <c r="G58" s="30">
        <f t="shared" si="10"/>
        <v>1738.1</v>
      </c>
      <c r="H58" s="30">
        <f t="shared" si="10"/>
        <v>6572.78</v>
      </c>
      <c r="I58" s="30">
        <f t="shared" si="10"/>
        <v>1720.76</v>
      </c>
      <c r="J58" s="67">
        <f t="shared" si="10"/>
        <v>4524.929999999999</v>
      </c>
      <c r="K58" s="67">
        <f t="shared" si="3"/>
        <v>2964.08</v>
      </c>
      <c r="L58" s="67">
        <f t="shared" si="4"/>
        <v>-1194.7200000000003</v>
      </c>
      <c r="M58" s="67">
        <f t="shared" si="5"/>
        <v>-17.339999999999918</v>
      </c>
      <c r="N58" s="59">
        <f t="shared" si="8"/>
        <v>3.2096003125228894</v>
      </c>
      <c r="O58" s="59">
        <f t="shared" si="9"/>
        <v>1.821370576661956</v>
      </c>
    </row>
    <row r="59" spans="1:15" ht="31.5">
      <c r="A59" s="102"/>
      <c r="B59" s="102" t="s">
        <v>55</v>
      </c>
      <c r="C59" s="10" t="s">
        <v>56</v>
      </c>
      <c r="D59" s="40">
        <v>381.6</v>
      </c>
      <c r="E59" s="5">
        <v>41.2</v>
      </c>
      <c r="F59" s="5">
        <v>35.6</v>
      </c>
      <c r="G59" s="5">
        <v>8.9</v>
      </c>
      <c r="H59" s="38">
        <v>72.45</v>
      </c>
      <c r="I59" s="38">
        <v>10.61</v>
      </c>
      <c r="J59" s="5">
        <f aca="true" t="shared" si="11" ref="J59:J77">H59-D59</f>
        <v>-309.15000000000003</v>
      </c>
      <c r="K59" s="5">
        <f t="shared" si="3"/>
        <v>36.85</v>
      </c>
      <c r="L59" s="5">
        <f t="shared" si="4"/>
        <v>31.25</v>
      </c>
      <c r="M59" s="5">
        <f t="shared" si="5"/>
        <v>1.709999999999999</v>
      </c>
      <c r="N59" s="45">
        <f t="shared" si="8"/>
        <v>0.18985849056603774</v>
      </c>
      <c r="O59" s="45">
        <f t="shared" si="9"/>
        <v>2.0351123595505616</v>
      </c>
    </row>
    <row r="60" spans="1:15" ht="31.5">
      <c r="A60" s="103"/>
      <c r="B60" s="103"/>
      <c r="C60" s="7" t="s">
        <v>92</v>
      </c>
      <c r="D60" s="18">
        <v>17.959999999999997</v>
      </c>
      <c r="E60" s="18">
        <v>47.1</v>
      </c>
      <c r="F60" s="18">
        <v>47.1</v>
      </c>
      <c r="G60" s="18">
        <v>0</v>
      </c>
      <c r="H60" s="42">
        <v>54.91000000000001</v>
      </c>
      <c r="I60" s="42">
        <v>47.14</v>
      </c>
      <c r="J60" s="18">
        <f t="shared" si="11"/>
        <v>36.95000000000002</v>
      </c>
      <c r="K60" s="18">
        <f t="shared" si="3"/>
        <v>7.810000000000009</v>
      </c>
      <c r="L60" s="18">
        <f t="shared" si="4"/>
        <v>7.810000000000009</v>
      </c>
      <c r="M60" s="18">
        <f t="shared" si="5"/>
        <v>47.14</v>
      </c>
      <c r="N60" s="45">
        <f t="shared" si="8"/>
        <v>3.0573496659242774</v>
      </c>
      <c r="O60" s="45">
        <f t="shared" si="9"/>
        <v>1.1658174097664546</v>
      </c>
    </row>
    <row r="61" spans="1:15" ht="15.75">
      <c r="A61" s="102"/>
      <c r="B61" s="102"/>
      <c r="C61" s="7" t="s">
        <v>27</v>
      </c>
      <c r="D61" s="40">
        <v>9531</v>
      </c>
      <c r="E61" s="5">
        <v>6100</v>
      </c>
      <c r="F61" s="5">
        <f>G61</f>
        <v>6100</v>
      </c>
      <c r="G61" s="5">
        <v>6100</v>
      </c>
      <c r="H61" s="38">
        <v>7387.5</v>
      </c>
      <c r="I61" s="38">
        <v>7387.5</v>
      </c>
      <c r="J61" s="5">
        <f t="shared" si="11"/>
        <v>-2143.5</v>
      </c>
      <c r="K61" s="5">
        <f t="shared" si="3"/>
        <v>1287.5</v>
      </c>
      <c r="L61" s="5">
        <f t="shared" si="4"/>
        <v>1287.5</v>
      </c>
      <c r="M61" s="5">
        <f t="shared" si="5"/>
        <v>1287.5</v>
      </c>
      <c r="N61" s="45">
        <f t="shared" si="8"/>
        <v>0.7751022977651872</v>
      </c>
      <c r="O61" s="45">
        <f t="shared" si="9"/>
        <v>1.2110655737704918</v>
      </c>
    </row>
    <row r="62" spans="1:15" ht="31.5">
      <c r="A62" s="102"/>
      <c r="B62" s="102"/>
      <c r="C62" s="7" t="s">
        <v>47</v>
      </c>
      <c r="D62" s="40">
        <v>8931.379999999748</v>
      </c>
      <c r="E62" s="3">
        <v>680.5</v>
      </c>
      <c r="F62" s="3">
        <v>210</v>
      </c>
      <c r="G62" s="3">
        <v>60</v>
      </c>
      <c r="H62" s="40">
        <v>21272.37000000016</v>
      </c>
      <c r="I62" s="40">
        <v>8303.589999999936</v>
      </c>
      <c r="J62" s="3">
        <f t="shared" si="11"/>
        <v>12340.99000000041</v>
      </c>
      <c r="K62" s="3">
        <f t="shared" si="3"/>
        <v>21062.37000000016</v>
      </c>
      <c r="L62" s="3">
        <f t="shared" si="4"/>
        <v>20591.87000000016</v>
      </c>
      <c r="M62" s="3">
        <f t="shared" si="5"/>
        <v>8243.589999999936</v>
      </c>
      <c r="N62" s="45">
        <f t="shared" si="8"/>
        <v>2.381756234758879</v>
      </c>
      <c r="O62" s="45">
        <f t="shared" si="9"/>
        <v>101.29700000000076</v>
      </c>
    </row>
    <row r="63" spans="1:15" ht="15.75">
      <c r="A63" s="102"/>
      <c r="B63" s="102"/>
      <c r="C63" s="7" t="s">
        <v>48</v>
      </c>
      <c r="D63" s="39">
        <v>32610.699999999997</v>
      </c>
      <c r="E63" s="3">
        <f>86939.9+8662.9</f>
        <v>95602.79999999999</v>
      </c>
      <c r="F63" s="3">
        <v>26075.2</v>
      </c>
      <c r="G63" s="3">
        <v>6682.9</v>
      </c>
      <c r="H63" s="90">
        <v>32855.74999999997</v>
      </c>
      <c r="I63" s="90">
        <v>9545.70000000001</v>
      </c>
      <c r="J63" s="3">
        <f t="shared" si="11"/>
        <v>245.0499999999738</v>
      </c>
      <c r="K63" s="3">
        <f t="shared" si="3"/>
        <v>6780.54999999997</v>
      </c>
      <c r="L63" s="3">
        <f t="shared" si="4"/>
        <v>-62747.05000000002</v>
      </c>
      <c r="M63" s="3">
        <f t="shared" si="5"/>
        <v>2862.80000000001</v>
      </c>
      <c r="N63" s="45">
        <f t="shared" si="8"/>
        <v>1.0075144047812519</v>
      </c>
      <c r="O63" s="45">
        <f t="shared" si="9"/>
        <v>1.2600382739154434</v>
      </c>
    </row>
    <row r="64" spans="1:15" ht="15.75">
      <c r="A64" s="102"/>
      <c r="B64" s="102"/>
      <c r="C64" s="7" t="s">
        <v>57</v>
      </c>
      <c r="D64" s="39">
        <v>-67.13</v>
      </c>
      <c r="E64" s="3"/>
      <c r="F64" s="3"/>
      <c r="G64" s="3"/>
      <c r="H64" s="90">
        <v>-5855.54</v>
      </c>
      <c r="I64" s="90">
        <v>-198.88000000000005</v>
      </c>
      <c r="J64" s="3">
        <f t="shared" si="11"/>
        <v>-5788.41</v>
      </c>
      <c r="K64" s="3">
        <f t="shared" si="3"/>
        <v>-5855.54</v>
      </c>
      <c r="L64" s="3">
        <f t="shared" si="4"/>
        <v>-5855.54</v>
      </c>
      <c r="M64" s="3">
        <f t="shared" si="5"/>
        <v>-198.88000000000005</v>
      </c>
      <c r="N64" s="45">
        <f aca="true" t="shared" si="12" ref="N64:N78">_xlfn.IFERROR(H64/D64,"")</f>
        <v>87.22687323104425</v>
      </c>
      <c r="O64" s="45">
        <f aca="true" t="shared" si="13" ref="O64:O78">_xlfn.IFERROR(H64/F64,"")</f>
      </c>
    </row>
    <row r="65" spans="1:15" ht="15.75">
      <c r="A65" s="102"/>
      <c r="B65" s="102"/>
      <c r="C65" s="7" t="s">
        <v>39</v>
      </c>
      <c r="D65" s="39">
        <f>7321.25+55.05</f>
        <v>7376.3</v>
      </c>
      <c r="E65" s="3">
        <v>16333.1</v>
      </c>
      <c r="F65" s="3">
        <v>1950</v>
      </c>
      <c r="G65" s="3">
        <v>950</v>
      </c>
      <c r="H65" s="90">
        <f>26642.27+193.24</f>
        <v>26835.510000000002</v>
      </c>
      <c r="I65" s="90">
        <f>7548.24+85.1</f>
        <v>7633.34</v>
      </c>
      <c r="J65" s="3">
        <f t="shared" si="11"/>
        <v>19459.210000000003</v>
      </c>
      <c r="K65" s="3">
        <f aca="true" t="shared" si="14" ref="K65:K78">H65-F65</f>
        <v>24885.510000000002</v>
      </c>
      <c r="L65" s="3">
        <f aca="true" t="shared" si="15" ref="L65:L78">H65-E65</f>
        <v>10502.410000000002</v>
      </c>
      <c r="M65" s="3">
        <f aca="true" t="shared" si="16" ref="M65:M78">I65-G65</f>
        <v>6683.34</v>
      </c>
      <c r="N65" s="45">
        <f t="shared" si="12"/>
        <v>3.638071933082982</v>
      </c>
      <c r="O65" s="45">
        <f t="shared" si="13"/>
        <v>13.761800000000001</v>
      </c>
    </row>
    <row r="66" spans="1:15" ht="15.75">
      <c r="A66" s="104"/>
      <c r="B66" s="104"/>
      <c r="C66" s="7" t="s">
        <v>94</v>
      </c>
      <c r="D66" s="39">
        <v>1988.23</v>
      </c>
      <c r="E66" s="3">
        <v>0</v>
      </c>
      <c r="F66" s="3">
        <f aca="true" t="shared" si="17" ref="F66:F74">G66</f>
        <v>0</v>
      </c>
      <c r="G66" s="3">
        <v>0</v>
      </c>
      <c r="H66" s="90">
        <v>795.93</v>
      </c>
      <c r="I66" s="90">
        <v>422.35</v>
      </c>
      <c r="J66" s="3">
        <f t="shared" si="11"/>
        <v>-1192.3000000000002</v>
      </c>
      <c r="K66" s="3">
        <f t="shared" si="14"/>
        <v>795.93</v>
      </c>
      <c r="L66" s="3">
        <f t="shared" si="15"/>
        <v>795.93</v>
      </c>
      <c r="M66" s="3">
        <f t="shared" si="16"/>
        <v>422.35</v>
      </c>
      <c r="N66" s="45">
        <f t="shared" si="12"/>
        <v>0.40032088842840113</v>
      </c>
      <c r="O66" s="45">
        <f t="shared" si="13"/>
      </c>
    </row>
    <row r="67" spans="1:15" ht="15.75">
      <c r="A67" s="102"/>
      <c r="B67" s="102"/>
      <c r="C67" s="60" t="s">
        <v>58</v>
      </c>
      <c r="D67" s="30">
        <f>SUM(D59:D66)</f>
        <v>60770.03999999975</v>
      </c>
      <c r="E67" s="30">
        <f>SUM(E59:E66)</f>
        <v>118804.7</v>
      </c>
      <c r="F67" s="30">
        <f>SUM(F59:F66)</f>
        <v>34417.9</v>
      </c>
      <c r="G67" s="30">
        <f>SUM(G59:G66)</f>
        <v>13801.8</v>
      </c>
      <c r="H67" s="30">
        <f>SUM(H59:H66)</f>
        <v>83418.88000000012</v>
      </c>
      <c r="I67" s="30">
        <f>SUM(I59:I66)</f>
        <v>33151.34999999995</v>
      </c>
      <c r="J67" s="67">
        <f t="shared" si="11"/>
        <v>22648.840000000368</v>
      </c>
      <c r="K67" s="67">
        <f t="shared" si="14"/>
        <v>49000.98000000012</v>
      </c>
      <c r="L67" s="67">
        <f t="shared" si="15"/>
        <v>-35385.819999999876</v>
      </c>
      <c r="M67" s="67">
        <f t="shared" si="16"/>
        <v>19349.54999999995</v>
      </c>
      <c r="N67" s="59">
        <f t="shared" si="12"/>
        <v>1.3726974673704422</v>
      </c>
      <c r="O67" s="59">
        <f t="shared" si="13"/>
        <v>2.423706269121594</v>
      </c>
    </row>
    <row r="68" spans="1:16" ht="25.5" customHeight="1">
      <c r="A68" s="105" t="s">
        <v>59</v>
      </c>
      <c r="B68" s="105"/>
      <c r="C68" s="105"/>
      <c r="D68" s="68">
        <f>D5+D22</f>
        <v>6521101.329999999</v>
      </c>
      <c r="E68" s="95">
        <f>E5+E22</f>
        <v>26226995.930000003</v>
      </c>
      <c r="F68" s="68">
        <f>F5+F22</f>
        <v>5461196.109999999</v>
      </c>
      <c r="G68" s="68">
        <f>G5+G22</f>
        <v>459647.41000000003</v>
      </c>
      <c r="H68" s="68">
        <f>H5+H22</f>
        <v>7005731.790000001</v>
      </c>
      <c r="I68" s="68">
        <f>I5+I22</f>
        <v>2692450.4</v>
      </c>
      <c r="J68" s="69">
        <f t="shared" si="11"/>
        <v>484630.4600000018</v>
      </c>
      <c r="K68" s="69">
        <f t="shared" si="14"/>
        <v>1544535.6800000016</v>
      </c>
      <c r="L68" s="69">
        <f t="shared" si="15"/>
        <v>-19221264.14</v>
      </c>
      <c r="M68" s="69">
        <f t="shared" si="16"/>
        <v>2232802.9899999998</v>
      </c>
      <c r="N68" s="70">
        <f t="shared" si="12"/>
        <v>1.0743172718035348</v>
      </c>
      <c r="O68" s="70">
        <f t="shared" si="13"/>
        <v>1.282820035920666</v>
      </c>
      <c r="P68" s="78"/>
    </row>
    <row r="69" spans="1:15" ht="33" customHeight="1">
      <c r="A69" s="106"/>
      <c r="B69" s="108"/>
      <c r="C69" s="53" t="s">
        <v>60</v>
      </c>
      <c r="D69" s="80">
        <f>SUM(D70:D77)</f>
        <v>5651445.739999999</v>
      </c>
      <c r="E69" s="51">
        <f>SUM(E70:E77)</f>
        <v>24219620.78</v>
      </c>
      <c r="F69" s="51">
        <f>SUM(F70:F77)</f>
        <v>6197641.26</v>
      </c>
      <c r="G69" s="51">
        <f>SUM(G70:G77)</f>
        <v>2246014.06</v>
      </c>
      <c r="H69" s="51">
        <f>SUM(H70:H77)</f>
        <v>6076348.709999999</v>
      </c>
      <c r="I69" s="51">
        <f>SUM(I70:I77)</f>
        <v>2245803.19</v>
      </c>
      <c r="J69" s="54">
        <f t="shared" si="11"/>
        <v>424902.96999999974</v>
      </c>
      <c r="K69" s="54">
        <f t="shared" si="14"/>
        <v>-121292.55000000075</v>
      </c>
      <c r="L69" s="54">
        <f t="shared" si="15"/>
        <v>-18143272.07</v>
      </c>
      <c r="M69" s="54">
        <f t="shared" si="16"/>
        <v>-210.87000000011176</v>
      </c>
      <c r="N69" s="55">
        <f t="shared" si="12"/>
        <v>1.075184826953678</v>
      </c>
      <c r="O69" s="55">
        <f t="shared" si="13"/>
        <v>0.980429239946037</v>
      </c>
    </row>
    <row r="70" spans="1:15" ht="31.5">
      <c r="A70" s="106"/>
      <c r="B70" s="108"/>
      <c r="C70" s="19" t="s">
        <v>61</v>
      </c>
      <c r="D70" s="39">
        <v>539943.4</v>
      </c>
      <c r="E70" s="19">
        <v>384548</v>
      </c>
      <c r="F70" s="3">
        <f>288577.9</f>
        <v>288577.9</v>
      </c>
      <c r="G70" s="3">
        <v>0</v>
      </c>
      <c r="H70" s="97">
        <v>288577.9</v>
      </c>
      <c r="I70" s="97">
        <v>0</v>
      </c>
      <c r="J70" s="3">
        <f aca="true" t="shared" si="18" ref="J70:J75">H70-D70</f>
        <v>-251365.5</v>
      </c>
      <c r="K70" s="3">
        <f>H70-F70</f>
        <v>0</v>
      </c>
      <c r="L70" s="3">
        <f>H70-E70</f>
        <v>-95970.09999999998</v>
      </c>
      <c r="M70" s="3">
        <f>I70-G70</f>
        <v>0</v>
      </c>
      <c r="N70" s="46">
        <f t="shared" si="12"/>
        <v>0.5344595377959986</v>
      </c>
      <c r="O70" s="46">
        <f t="shared" si="13"/>
        <v>1</v>
      </c>
    </row>
    <row r="71" spans="1:15" ht="31.5">
      <c r="A71" s="106"/>
      <c r="B71" s="108"/>
      <c r="C71" s="20" t="s">
        <v>62</v>
      </c>
      <c r="D71" s="39">
        <v>760058.1</v>
      </c>
      <c r="E71" s="85">
        <v>6534340.88</v>
      </c>
      <c r="F71" s="3">
        <v>1035873.45</v>
      </c>
      <c r="G71" s="39">
        <v>729137.18</v>
      </c>
      <c r="H71" s="97">
        <v>1035873.45</v>
      </c>
      <c r="I71" s="97">
        <v>729137.18</v>
      </c>
      <c r="J71" s="3">
        <f t="shared" si="18"/>
        <v>275815.35</v>
      </c>
      <c r="K71" s="86">
        <f>H71-F71</f>
        <v>0</v>
      </c>
      <c r="L71" s="3">
        <f>H71-E71</f>
        <v>-5498467.43</v>
      </c>
      <c r="M71" s="3">
        <f>I71-G71</f>
        <v>0</v>
      </c>
      <c r="N71" s="46">
        <f t="shared" si="12"/>
        <v>1.3628871924396306</v>
      </c>
      <c r="O71" s="46">
        <f t="shared" si="13"/>
        <v>1</v>
      </c>
    </row>
    <row r="72" spans="1:15" ht="31.5">
      <c r="A72" s="106"/>
      <c r="B72" s="108"/>
      <c r="C72" s="20" t="s">
        <v>63</v>
      </c>
      <c r="D72" s="39">
        <v>3355689.2600000002</v>
      </c>
      <c r="E72" s="85">
        <v>11845941.55</v>
      </c>
      <c r="F72" s="3">
        <v>3183124.41</v>
      </c>
      <c r="G72" s="39">
        <v>1056146.04</v>
      </c>
      <c r="H72" s="97">
        <v>3183124.41</v>
      </c>
      <c r="I72" s="97">
        <v>1056146.04</v>
      </c>
      <c r="J72" s="3">
        <f t="shared" si="18"/>
        <v>-172564.8500000001</v>
      </c>
      <c r="K72" s="86">
        <f>H72-F72</f>
        <v>0</v>
      </c>
      <c r="L72" s="3">
        <f t="shared" si="15"/>
        <v>-8662817.14</v>
      </c>
      <c r="M72" s="3">
        <f>I72-G72</f>
        <v>0</v>
      </c>
      <c r="N72" s="46">
        <f t="shared" si="12"/>
        <v>0.9485754381202746</v>
      </c>
      <c r="O72" s="46">
        <f t="shared" si="13"/>
        <v>1</v>
      </c>
    </row>
    <row r="73" spans="1:15" ht="15.75">
      <c r="A73" s="106"/>
      <c r="B73" s="108"/>
      <c r="C73" s="9" t="s">
        <v>64</v>
      </c>
      <c r="D73" s="39">
        <v>975856.95</v>
      </c>
      <c r="E73" s="85">
        <v>5446783.48</v>
      </c>
      <c r="F73" s="3">
        <v>1682058.63</v>
      </c>
      <c r="G73" s="3">
        <v>460730.84</v>
      </c>
      <c r="H73" s="90">
        <v>1682058.63</v>
      </c>
      <c r="I73" s="90">
        <v>460730.84</v>
      </c>
      <c r="J73" s="3">
        <f t="shared" si="18"/>
        <v>706201.6799999999</v>
      </c>
      <c r="K73" s="3">
        <f>H73-F73</f>
        <v>0</v>
      </c>
      <c r="L73" s="3">
        <f t="shared" si="15"/>
        <v>-3764724.8500000006</v>
      </c>
      <c r="M73" s="3">
        <f t="shared" si="16"/>
        <v>0</v>
      </c>
      <c r="N73" s="46">
        <f t="shared" si="12"/>
        <v>1.7236733621664528</v>
      </c>
      <c r="O73" s="46">
        <f t="shared" si="13"/>
        <v>1</v>
      </c>
    </row>
    <row r="74" spans="1:15" ht="47.25">
      <c r="A74" s="107"/>
      <c r="B74" s="109"/>
      <c r="C74" s="9" t="s">
        <v>80</v>
      </c>
      <c r="D74" s="39">
        <v>4.06</v>
      </c>
      <c r="E74" s="86"/>
      <c r="F74" s="3">
        <f t="shared" si="17"/>
        <v>0</v>
      </c>
      <c r="G74" s="3"/>
      <c r="H74" s="90">
        <v>387.89</v>
      </c>
      <c r="I74" s="90">
        <v>0</v>
      </c>
      <c r="J74" s="3">
        <f t="shared" si="18"/>
        <v>383.83</v>
      </c>
      <c r="K74" s="3">
        <f>H74-F74</f>
        <v>387.89</v>
      </c>
      <c r="L74" s="3">
        <f t="shared" si="15"/>
        <v>387.89</v>
      </c>
      <c r="M74" s="3">
        <f t="shared" si="16"/>
        <v>0</v>
      </c>
      <c r="N74" s="47">
        <f>_xlfn.IFERROR(H74/D74,"")</f>
        <v>95.53940886699507</v>
      </c>
      <c r="O74" s="47">
        <f t="shared" si="13"/>
      </c>
    </row>
    <row r="75" spans="1:15" ht="29.25" customHeight="1">
      <c r="A75" s="106"/>
      <c r="B75" s="108"/>
      <c r="C75" s="33" t="s">
        <v>65</v>
      </c>
      <c r="D75" s="39">
        <v>33813.61</v>
      </c>
      <c r="E75" s="86"/>
      <c r="F75" s="3"/>
      <c r="G75" s="3"/>
      <c r="H75" s="90">
        <v>0</v>
      </c>
      <c r="I75" s="90">
        <v>0</v>
      </c>
      <c r="J75" s="3">
        <f t="shared" si="18"/>
        <v>-33813.61</v>
      </c>
      <c r="K75" s="3">
        <f>H75-F75</f>
        <v>0</v>
      </c>
      <c r="L75" s="3">
        <f>H75-E75</f>
        <v>0</v>
      </c>
      <c r="M75" s="3">
        <f t="shared" si="16"/>
        <v>0</v>
      </c>
      <c r="N75" s="46">
        <f t="shared" si="12"/>
        <v>0</v>
      </c>
      <c r="O75" s="46">
        <f t="shared" si="13"/>
      </c>
    </row>
    <row r="76" spans="1:15" ht="47.25">
      <c r="A76" s="106"/>
      <c r="B76" s="108"/>
      <c r="C76" s="7" t="s">
        <v>66</v>
      </c>
      <c r="D76" s="39">
        <v>322904.97000000003</v>
      </c>
      <c r="E76" s="87">
        <v>8006.87</v>
      </c>
      <c r="F76" s="5">
        <v>8006.87</v>
      </c>
      <c r="G76" s="5">
        <v>0</v>
      </c>
      <c r="H76" s="90">
        <v>159777.43000000002</v>
      </c>
      <c r="I76" s="90">
        <v>24.6</v>
      </c>
      <c r="J76" s="3">
        <f t="shared" si="11"/>
        <v>-163127.54</v>
      </c>
      <c r="K76" s="3">
        <f t="shared" si="14"/>
        <v>151770.56000000003</v>
      </c>
      <c r="L76" s="3">
        <f t="shared" si="15"/>
        <v>151770.56000000003</v>
      </c>
      <c r="M76" s="3">
        <f t="shared" si="16"/>
        <v>24.6</v>
      </c>
      <c r="N76" s="46">
        <f t="shared" si="12"/>
        <v>0.49481254500356564</v>
      </c>
      <c r="O76" s="46">
        <f t="shared" si="13"/>
        <v>19.955042357375607</v>
      </c>
    </row>
    <row r="77" spans="1:15" ht="31.5">
      <c r="A77" s="106"/>
      <c r="B77" s="108"/>
      <c r="C77" s="7" t="s">
        <v>67</v>
      </c>
      <c r="D77" s="39">
        <v>-336824.6099999999</v>
      </c>
      <c r="E77" s="86"/>
      <c r="F77" s="3"/>
      <c r="G77" s="3"/>
      <c r="H77" s="90">
        <v>-273451</v>
      </c>
      <c r="I77" s="90">
        <v>-235.47</v>
      </c>
      <c r="J77" s="3">
        <f t="shared" si="11"/>
        <v>63373.60999999993</v>
      </c>
      <c r="K77" s="3">
        <f t="shared" si="14"/>
        <v>-273451</v>
      </c>
      <c r="L77" s="3">
        <f t="shared" si="15"/>
        <v>-273451</v>
      </c>
      <c r="M77" s="3">
        <f t="shared" si="16"/>
        <v>-235.47</v>
      </c>
      <c r="N77" s="46">
        <f t="shared" si="12"/>
        <v>0.811849822968696</v>
      </c>
      <c r="O77" s="46">
        <f t="shared" si="13"/>
      </c>
    </row>
    <row r="78" spans="1:15" ht="29.25" customHeight="1">
      <c r="A78" s="101" t="s">
        <v>68</v>
      </c>
      <c r="B78" s="101"/>
      <c r="C78" s="101"/>
      <c r="D78" s="79">
        <f>D68+D69</f>
        <v>12172547.069999998</v>
      </c>
      <c r="E78" s="88">
        <f>E68+E69</f>
        <v>50446616.71000001</v>
      </c>
      <c r="F78" s="71">
        <f>F68+F69</f>
        <v>11658837.37</v>
      </c>
      <c r="G78" s="71">
        <f>G68+G69</f>
        <v>2705661.47</v>
      </c>
      <c r="H78" s="71">
        <f>H68+H69</f>
        <v>13082080.5</v>
      </c>
      <c r="I78" s="71">
        <f>I68+I69</f>
        <v>4938253.59</v>
      </c>
      <c r="J78" s="71">
        <f>J68+J69</f>
        <v>909533.4300000016</v>
      </c>
      <c r="K78" s="49">
        <f t="shared" si="14"/>
        <v>1423243.1300000008</v>
      </c>
      <c r="L78" s="49">
        <f t="shared" si="15"/>
        <v>-37364536.21000001</v>
      </c>
      <c r="M78" s="49">
        <f t="shared" si="16"/>
        <v>2232592.1199999996</v>
      </c>
      <c r="N78" s="70">
        <f t="shared" si="12"/>
        <v>1.074720058568646</v>
      </c>
      <c r="O78" s="70">
        <f t="shared" si="13"/>
        <v>1.1220741901471434</v>
      </c>
    </row>
    <row r="79" spans="1:15" ht="15.75">
      <c r="A79" s="21" t="s">
        <v>69</v>
      </c>
      <c r="B79" s="22"/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26"/>
    </row>
    <row r="80" ht="12.75">
      <c r="D80" s="72"/>
    </row>
  </sheetData>
  <sheetProtection/>
  <autoFilter ref="A4:O80"/>
  <mergeCells count="34">
    <mergeCell ref="A27:A29"/>
    <mergeCell ref="B27:B29"/>
    <mergeCell ref="H3:I3"/>
    <mergeCell ref="J3:M3"/>
    <mergeCell ref="N3:N4"/>
    <mergeCell ref="A23:A26"/>
    <mergeCell ref="B23:B26"/>
    <mergeCell ref="A6:A17"/>
    <mergeCell ref="A22:B22"/>
    <mergeCell ref="A57:A58"/>
    <mergeCell ref="B57:B58"/>
    <mergeCell ref="A30:A37"/>
    <mergeCell ref="B30:B37"/>
    <mergeCell ref="A38:A46"/>
    <mergeCell ref="B38:B46"/>
    <mergeCell ref="A47:A48"/>
    <mergeCell ref="B47:B48"/>
    <mergeCell ref="A49:A53"/>
    <mergeCell ref="B49:B53"/>
    <mergeCell ref="A54:A56"/>
    <mergeCell ref="B54:B56"/>
    <mergeCell ref="A1:O1"/>
    <mergeCell ref="A3:A4"/>
    <mergeCell ref="B3:B4"/>
    <mergeCell ref="C3:C4"/>
    <mergeCell ref="D3:D4"/>
    <mergeCell ref="E3:G3"/>
    <mergeCell ref="O3:O4"/>
    <mergeCell ref="A78:C78"/>
    <mergeCell ref="A59:A67"/>
    <mergeCell ref="B59:B67"/>
    <mergeCell ref="A68:C68"/>
    <mergeCell ref="A69:A77"/>
    <mergeCell ref="B69:B77"/>
  </mergeCells>
  <printOptions/>
  <pageMargins left="0.15748031496062992" right="0.15748031496062992" top="0.5118110236220472" bottom="0.1968503937007874" header="0.31496062992125984" footer="0.31496062992125984"/>
  <pageSetup fitToHeight="0" fitToWidth="1" horizontalDpi="600" verticalDpi="600" orientation="landscape" paperSize="9" scale="60" r:id="rId1"/>
  <rowBreaks count="1" manualBreakCount="1">
    <brk id="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2023-05-02T05:23:06Z</cp:lastPrinted>
  <dcterms:created xsi:type="dcterms:W3CDTF">2015-02-26T11:08:47Z</dcterms:created>
  <dcterms:modified xsi:type="dcterms:W3CDTF">2023-05-04T10:29:19Z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