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5.06.2023" sheetId="1" r:id="rId1"/>
  </sheets>
  <definedNames>
    <definedName name="_xlfn.IFERROR" hidden="1">#NAME?</definedName>
    <definedName name="_xlnm._FilterDatabase" localSheetId="0" hidden="1">'05.06.2023'!$A$4:$P$89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'05.06.2023'!$3:$4</definedName>
    <definedName name="о">#REF!</definedName>
    <definedName name="_xlnm.Print_Area" localSheetId="0">'05.06.2023'!$A$1:$P$88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<sst xmlns="http://schemas.openxmlformats.org/spreadsheetml/2006/main" count="142" uniqueCount="112">
  <si>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</si>
  <si>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</si>
  <si>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</si>
  <si>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</si>
  <si>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</si>
  <si>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</si>
  <si>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</si>
  <si>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</si>
  <si>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</si>
  <si>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</si>
  <si>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</si>
  <si>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</si>
  <si>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</si>
  <si>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</si>
  <si>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</si>
  <si>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</si>
  <si>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</si>
  <si>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</si>
  <si>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</si>
  <si>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</si>
  <si>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</si>
  <si>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</si>
  <si>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</si>
  <si>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</si>
  <si>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</si>
  <si>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</si>
  <si>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</si>
  <si>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</si>
  <si>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</si>
  <si>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</si>
  <si>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</si>
  <si>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</si>
  <si>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</si>
  <si>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</si>
  <si>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</si>
  <si>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</si>
  <si>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</si>
  <si>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</si>
  <si>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</si>
  <si>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</si>
  <si>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</si>
  <si>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</si>
  <si>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</si>
  <si>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</si>
  <si>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</si>
  <si>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</si>
  <si>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</si>
  <si>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</si>
  <si>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</si>
  <si>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</si>
  <si>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</si>
  <si>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</si>
  <si>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</si>
  <si>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</si>
  <si>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</si>
  <si>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</si>
  <si>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</si>
  <si>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</si>
  <si>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</si>
  <si>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</si>
  <si>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</si>
  <si>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</si>
  <si>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</si>
  <si>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</si>
  <si>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</si>
  <si>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</si>
  <si>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</si>
  <si>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</si>
  <si>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</si>
  <si>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</si>
  <si>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</si>
  <si>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</si>
  <si>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</si>
  <si>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</si>
  <si>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</si>
  <si>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</si>
  <si>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</si>
  <si>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</si>
  <si>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</si>
  <si>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</si>
  <si>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</si>
  <si>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</si>
  <si>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</si>
  <si>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</si>
  <si>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</si>
  <si>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</si>
  <si>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</si>
  <si>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</si>
  <si>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</si>
  <si>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</si>
  <si>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</si>
  <si>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</si>
  <si>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</si>
  <si>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</si>
  <si>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</si>
  <si>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</si>
  <si>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</si>
  <si>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</si>
  <si>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</si>
  <si>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</si>
  <si>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</si>
  <si>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</si>
  <si>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</si>
  <si>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</si>
  <si>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</si>
  <si>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</si>
  <si>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</si>
  <si>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январь-июнь</t>
  </si>
  <si>
    <t>июнь</t>
  </si>
  <si>
    <t>с нач. года на 05.06.2023 (по 02.06.2023 вкл.)</t>
  </si>
  <si>
    <t>факта за июня от плана июня</t>
  </si>
  <si>
    <t>Факт с нач. 2022 года      (по 02.06.22 вкл.)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</si>
</sst>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  <numFmt numFmtId="170" formatCode="0.0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color indexed="45"/>
      <name val="Arial Cyr"/>
      <family val="0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2"/>
      <color indexed="5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3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1" xfId="0" applyFont="1" applyFill="1" applyBorder="1" applyAlignment="1">
      <alignment horizontal="left" wrapText="1"/>
    </xf>
    <xf numFmtId="166" fontId="47" fillId="0" borderId="11" xfId="0" applyNumberFormat="1" applyFont="1" applyFill="1" applyBorder="1" applyAlignment="1">
      <alignment wrapText="1"/>
    </xf>
    <xf numFmtId="166" fontId="47" fillId="0" borderId="11" xfId="0" applyNumberFormat="1" applyFont="1" applyFill="1" applyBorder="1" applyAlignment="1">
      <alignment wrapText="1"/>
    </xf>
    <xf numFmtId="166" fontId="48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6" fontId="49" fillId="0" borderId="11" xfId="0" applyNumberFormat="1" applyFont="1" applyFill="1" applyBorder="1" applyAlignment="1">
      <alignment wrapText="1"/>
    </xf>
    <xf numFmtId="170" fontId="5" fillId="33" borderId="12" xfId="0" applyNumberFormat="1" applyFont="1" applyFill="1" applyBorder="1" applyAlignment="1">
      <alignment horizont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3" fillId="33" borderId="11" xfId="0" applyNumberFormat="1" applyFont="1" applyFill="1" applyBorder="1" applyAlignment="1">
      <alignment horizontal="right" wrapText="1"/>
    </xf>
    <xf numFmtId="170" fontId="6" fillId="33" borderId="11" xfId="0" applyNumberFormat="1" applyFont="1" applyFill="1" applyBorder="1" applyAlignment="1">
      <alignment horizontal="right" wrapText="1"/>
    </xf>
    <xf numFmtId="170" fontId="6" fillId="33" borderId="11" xfId="0" applyNumberFormat="1" applyFont="1" applyFill="1" applyBorder="1" applyAlignment="1">
      <alignment wrapText="1"/>
    </xf>
    <xf numFmtId="170" fontId="4" fillId="33" borderId="11" xfId="0" applyNumberFormat="1" applyFont="1" applyFill="1" applyBorder="1" applyAlignment="1">
      <alignment wrapText="1"/>
    </xf>
    <xf numFmtId="170" fontId="0" fillId="33" borderId="0" xfId="0" applyNumberFormat="1" applyFont="1" applyFill="1" applyAlignment="1">
      <alignment horizontal="left"/>
    </xf>
    <xf numFmtId="170" fontId="0" fillId="33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6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6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49" fillId="0" borderId="11" xfId="0" applyFont="1" applyFill="1" applyBorder="1" applyAlignment="1">
      <alignment horizontal="left" vertical="top" wrapText="1"/>
    </xf>
    <xf numFmtId="164" fontId="49" fillId="33" borderId="11" xfId="0" applyNumberFormat="1" applyFont="1" applyFill="1" applyBorder="1" applyAlignment="1">
      <alignment wrapText="1"/>
    </xf>
    <xf numFmtId="164" fontId="49" fillId="0" borderId="11" xfId="0" applyNumberFormat="1" applyFont="1" applyFill="1" applyBorder="1" applyAlignment="1">
      <alignment wrapText="1"/>
    </xf>
    <xf numFmtId="164" fontId="49" fillId="0" borderId="11" xfId="0" applyNumberFormat="1" applyFont="1" applyFill="1" applyBorder="1" applyAlignment="1">
      <alignment wrapText="1"/>
    </xf>
    <xf numFmtId="165" fontId="49" fillId="0" borderId="11" xfId="0" applyNumberFormat="1" applyFont="1" applyFill="1" applyBorder="1" applyAlignment="1">
      <alignment wrapText="1"/>
    </xf>
    <xf numFmtId="165" fontId="49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49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170" fontId="4" fillId="33" borderId="13" xfId="0" applyNumberFormat="1" applyFont="1" applyFill="1" applyBorder="1" applyAlignment="1">
      <alignment horizontal="center" vertical="center" wrapText="1"/>
    </xf>
    <xf numFmtId="170" fontId="4" fillId="33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9" fontId="4" fillId="0" borderId="11" xfId="143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50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50" fillId="0" borderId="13" xfId="0" applyNumberFormat="1" applyFont="1" applyFill="1" applyBorder="1" applyAlignment="1">
      <alignment horizontal="left" vertical="center" wrapText="1"/>
    </xf>
    <xf numFmtId="166" fontId="50" fillId="0" borderId="15" xfId="0" applyNumberFormat="1" applyFont="1" applyFill="1" applyBorder="1" applyAlignment="1">
      <alignment horizontal="left" vertical="center" wrapText="1"/>
    </xf>
    <xf numFmtId="166" fontId="50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8" xfId="137"/>
    <cellStyle name="Обычный 9" xfId="138"/>
    <cellStyle name="Плохой" xfId="139"/>
    <cellStyle name="Пояснение" xfId="140"/>
    <cellStyle name="Примечание" xfId="141"/>
    <cellStyle name="Percent" xfId="142"/>
    <cellStyle name="Процентный 2" xfId="143"/>
    <cellStyle name="Процентный 2 2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2" xfId="149"/>
    <cellStyle name="Финансовый 3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0" sqref="C10"/>
    </sheetView>
  </sheetViews>
  <sheetFormatPr defaultColWidth="9.00390625" defaultRowHeight="12.75"/>
  <cols>
    <col min="1" max="2" width="9.125" style="60" customWidth="1"/>
    <col min="3" max="3" width="67.625" style="60" customWidth="1"/>
    <col min="4" max="4" width="14.625" style="66" customWidth="1"/>
    <col min="5" max="5" width="15.625" style="125" customWidth="1"/>
    <col min="6" max="7" width="13.00390625" style="125" customWidth="1"/>
    <col min="8" max="8" width="16.25390625" style="104" customWidth="1"/>
    <col min="9" max="9" width="13.875" style="104" customWidth="1"/>
    <col min="10" max="10" width="15.125" style="60" customWidth="1"/>
    <col min="11" max="11" width="14.375" style="60" customWidth="1"/>
    <col min="12" max="12" width="15.625" style="60" customWidth="1"/>
    <col min="13" max="13" width="13.75390625" style="60" customWidth="1"/>
    <col min="14" max="14" width="13.125" style="60" customWidth="1"/>
    <col min="15" max="15" width="10.125" style="60" customWidth="1"/>
    <col min="16" max="16" width="9.25390625" style="60" customWidth="1"/>
    <col min="17" max="17" width="9.125" style="60" customWidth="1"/>
    <col min="18" max="18" width="16.625" style="60" customWidth="1"/>
    <col min="19" max="19" width="9.125" style="60" customWidth="1"/>
    <col min="20" max="20" width="15.75390625" style="60" customWidth="1"/>
    <col min="21" max="16384" width="9.125" style="60" customWidth="1"/>
  </cols>
  <sheetData>
    <row r="1" spans="1:16" ht="20.25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20.25" customHeight="1">
      <c r="A2" s="30"/>
      <c r="B2" s="31"/>
      <c r="C2" s="28"/>
      <c r="D2" s="132"/>
      <c r="E2" s="107"/>
      <c r="F2" s="107"/>
      <c r="G2" s="108"/>
      <c r="H2" s="94"/>
      <c r="I2" s="94"/>
      <c r="J2" s="28"/>
      <c r="K2" s="28"/>
      <c r="L2" s="28"/>
      <c r="M2" s="28"/>
      <c r="N2" s="28"/>
      <c r="O2" s="27"/>
      <c r="P2" s="27" t="s">
        <v>0</v>
      </c>
    </row>
    <row r="3" spans="1:16" ht="20.25" customHeight="1">
      <c r="A3" s="161" t="s">
        <v>1</v>
      </c>
      <c r="B3" s="162" t="s">
        <v>2</v>
      </c>
      <c r="C3" s="163" t="s">
        <v>3</v>
      </c>
      <c r="D3" s="165" t="s">
        <v>111</v>
      </c>
      <c r="E3" s="167" t="s">
        <v>91</v>
      </c>
      <c r="F3" s="168"/>
      <c r="G3" s="169"/>
      <c r="H3" s="136" t="s">
        <v>93</v>
      </c>
      <c r="I3" s="137"/>
      <c r="J3" s="138" t="s">
        <v>4</v>
      </c>
      <c r="K3" s="139"/>
      <c r="L3" s="139"/>
      <c r="M3" s="140"/>
      <c r="N3" s="141" t="s">
        <v>105</v>
      </c>
      <c r="O3" s="170" t="s">
        <v>103</v>
      </c>
      <c r="P3" s="141" t="s">
        <v>104</v>
      </c>
    </row>
    <row r="4" spans="1:16" ht="63">
      <c r="A4" s="161"/>
      <c r="B4" s="162"/>
      <c r="C4" s="164"/>
      <c r="D4" s="166"/>
      <c r="E4" s="109" t="s">
        <v>88</v>
      </c>
      <c r="F4" s="109" t="s">
        <v>107</v>
      </c>
      <c r="G4" s="109" t="s">
        <v>108</v>
      </c>
      <c r="H4" s="95" t="s">
        <v>109</v>
      </c>
      <c r="I4" s="96" t="s">
        <v>108</v>
      </c>
      <c r="J4" s="1" t="s">
        <v>94</v>
      </c>
      <c r="K4" s="1" t="s">
        <v>5</v>
      </c>
      <c r="L4" s="1" t="s">
        <v>95</v>
      </c>
      <c r="M4" s="1" t="s">
        <v>110</v>
      </c>
      <c r="N4" s="141"/>
      <c r="O4" s="170"/>
      <c r="P4" s="141"/>
    </row>
    <row r="5" spans="1:18" ht="29.25" customHeight="1">
      <c r="A5" s="84"/>
      <c r="B5" s="85"/>
      <c r="C5" s="86" t="s">
        <v>6</v>
      </c>
      <c r="D5" s="90">
        <f>D17+D19+D21+D18+D20</f>
        <v>5830538.670000001</v>
      </c>
      <c r="E5" s="90">
        <f>E17+E19+E21+E18+E20</f>
        <v>20002935.000000004</v>
      </c>
      <c r="F5" s="90">
        <f>F17+F19+F21+F18+F20</f>
        <v>7774039.000000001</v>
      </c>
      <c r="G5" s="90">
        <f>G17+G19+G21+G18+G20</f>
        <v>1171786.0000000002</v>
      </c>
      <c r="H5" s="90">
        <f>H17+H19+H21+H18+H20</f>
        <v>5891766.57</v>
      </c>
      <c r="I5" s="90">
        <f>I17+I19+I21+I18+I20</f>
        <v>2293.5699999999997</v>
      </c>
      <c r="J5" s="87">
        <f>H5-D5</f>
        <v>61227.89999999944</v>
      </c>
      <c r="K5" s="87">
        <f>H5-F5</f>
        <v>-1882272.4300000006</v>
      </c>
      <c r="L5" s="87">
        <f>H5-E5</f>
        <v>-14111168.430000003</v>
      </c>
      <c r="M5" s="87">
        <f>I5-G5</f>
        <v>-1169492.4300000002</v>
      </c>
      <c r="N5" s="47">
        <f aca="true" t="shared" si="0" ref="N5:N47">_xlfn.IFERROR(H5/D5,"")</f>
        <v>1.0105012424177953</v>
      </c>
      <c r="O5" s="47">
        <f aca="true" t="shared" si="1" ref="O5:O36">_xlfn.IFERROR(H5/F5,"")</f>
        <v>0.7578771562633014</v>
      </c>
      <c r="P5" s="47">
        <f aca="true" t="shared" si="2" ref="P5:P36">_xlfn.IFERROR(H5/E5,"")</f>
        <v>0.2945451040059871</v>
      </c>
      <c r="R5" s="72"/>
    </row>
    <row r="6" spans="1:21" ht="15.75">
      <c r="A6" s="148" t="s">
        <v>10</v>
      </c>
      <c r="B6" s="68" t="s">
        <v>11</v>
      </c>
      <c r="C6" s="4" t="s">
        <v>12</v>
      </c>
      <c r="D6" s="34">
        <v>4290954.380000001</v>
      </c>
      <c r="E6" s="110">
        <f>14235121.9+613644.6</f>
        <v>14848766.5</v>
      </c>
      <c r="F6" s="110">
        <v>5815657.500000001</v>
      </c>
      <c r="G6" s="110">
        <v>1129862.4000000001</v>
      </c>
      <c r="H6" s="5">
        <v>4211319.89</v>
      </c>
      <c r="I6" s="5">
        <v>686.41</v>
      </c>
      <c r="J6" s="5">
        <f aca="true" t="shared" si="3" ref="J6:J61">H6-D6</f>
        <v>-79634.49000000115</v>
      </c>
      <c r="K6" s="5">
        <f aca="true" t="shared" si="4" ref="K6:K70">H6-F6</f>
        <v>-1604337.6100000013</v>
      </c>
      <c r="L6" s="5">
        <f aca="true" t="shared" si="5" ref="L6:L70">H6-E6</f>
        <v>-10637446.61</v>
      </c>
      <c r="M6" s="5">
        <f>I6-G6</f>
        <v>-1129175.9900000002</v>
      </c>
      <c r="N6" s="40">
        <f t="shared" si="0"/>
        <v>0.9814413104993204</v>
      </c>
      <c r="O6" s="40">
        <f t="shared" si="1"/>
        <v>0.7241347844160353</v>
      </c>
      <c r="P6" s="40">
        <f t="shared" si="2"/>
        <v>0.2836141230990466</v>
      </c>
      <c r="U6" s="72"/>
    </row>
    <row r="7" spans="1:21" ht="15.75">
      <c r="A7" s="143"/>
      <c r="B7" s="68" t="s">
        <v>7</v>
      </c>
      <c r="C7" s="2" t="s">
        <v>8</v>
      </c>
      <c r="D7" s="33">
        <v>29082.94</v>
      </c>
      <c r="E7" s="88">
        <v>80057.5</v>
      </c>
      <c r="F7" s="88">
        <v>37510</v>
      </c>
      <c r="G7" s="88">
        <v>6620</v>
      </c>
      <c r="H7" s="5">
        <v>30941.23</v>
      </c>
      <c r="I7" s="5">
        <v>0</v>
      </c>
      <c r="J7" s="3">
        <f>H7-D7</f>
        <v>1858.2900000000009</v>
      </c>
      <c r="K7" s="3">
        <f>H7-F7</f>
        <v>-6568.77</v>
      </c>
      <c r="L7" s="3">
        <f>H7-E7</f>
        <v>-49116.270000000004</v>
      </c>
      <c r="M7" s="3">
        <f>I7-G7</f>
        <v>-6620</v>
      </c>
      <c r="N7" s="40">
        <f t="shared" si="0"/>
        <v>1.0638962223214021</v>
      </c>
      <c r="O7" s="40">
        <f t="shared" si="1"/>
        <v>0.8248794988003199</v>
      </c>
      <c r="P7" s="40">
        <f t="shared" si="2"/>
        <v>0.3864875870468101</v>
      </c>
      <c r="U7" s="72"/>
    </row>
    <row r="8" spans="1:21" ht="15.75">
      <c r="A8" s="143"/>
      <c r="B8" s="68" t="s">
        <v>11</v>
      </c>
      <c r="C8" s="35" t="s">
        <v>96</v>
      </c>
      <c r="D8" s="34"/>
      <c r="E8" s="111">
        <v>1204375.9</v>
      </c>
      <c r="F8" s="111">
        <v>648721.5</v>
      </c>
      <c r="G8" s="111">
        <v>0</v>
      </c>
      <c r="H8" s="5">
        <v>525347.3099999998</v>
      </c>
      <c r="I8" s="5">
        <v>0</v>
      </c>
      <c r="J8" s="5">
        <f>H8-D8</f>
        <v>525347.3099999998</v>
      </c>
      <c r="K8" s="5">
        <f>H8-F8</f>
        <v>-123374.19000000018</v>
      </c>
      <c r="L8" s="5">
        <f>H8-E8</f>
        <v>-679028.5900000001</v>
      </c>
      <c r="M8" s="5">
        <f aca="true" t="shared" si="6" ref="M8:M70">I8-G8</f>
        <v>0</v>
      </c>
      <c r="N8" s="40">
        <f t="shared" si="0"/>
      </c>
      <c r="O8" s="40">
        <f t="shared" si="1"/>
        <v>0.8098194833992705</v>
      </c>
      <c r="P8" s="40">
        <f t="shared" si="2"/>
        <v>0.4361987897632291</v>
      </c>
      <c r="U8" s="72"/>
    </row>
    <row r="9" spans="1:21" ht="15.75">
      <c r="A9" s="143"/>
      <c r="B9" s="68" t="s">
        <v>11</v>
      </c>
      <c r="C9" s="4" t="s">
        <v>13</v>
      </c>
      <c r="D9" s="34">
        <v>1475.9299999999998</v>
      </c>
      <c r="E9" s="110"/>
      <c r="F9" s="110"/>
      <c r="G9" s="110"/>
      <c r="H9" s="5">
        <v>-3374.2200000000003</v>
      </c>
      <c r="I9" s="5">
        <v>0</v>
      </c>
      <c r="J9" s="5">
        <f t="shared" si="3"/>
        <v>-4850.15</v>
      </c>
      <c r="K9" s="5">
        <f>H9-F9</f>
        <v>-3374.2200000000003</v>
      </c>
      <c r="L9" s="5">
        <f t="shared" si="5"/>
        <v>-3374.2200000000003</v>
      </c>
      <c r="M9" s="5">
        <f t="shared" si="6"/>
        <v>0</v>
      </c>
      <c r="N9" s="40">
        <f t="shared" si="0"/>
        <v>-2.2861653330442504</v>
      </c>
      <c r="O9" s="40">
        <f t="shared" si="1"/>
      </c>
      <c r="P9" s="40">
        <f t="shared" si="2"/>
      </c>
      <c r="U9" s="72"/>
    </row>
    <row r="10" spans="1:21" ht="15.75">
      <c r="A10" s="143"/>
      <c r="B10" s="68" t="s">
        <v>11</v>
      </c>
      <c r="C10" s="4" t="s">
        <v>14</v>
      </c>
      <c r="D10" s="34">
        <v>2166.04</v>
      </c>
      <c r="E10" s="110">
        <v>4690.3</v>
      </c>
      <c r="F10" s="110">
        <v>2720.4</v>
      </c>
      <c r="G10" s="110">
        <v>0</v>
      </c>
      <c r="H10" s="5">
        <v>-1454.64</v>
      </c>
      <c r="I10" s="5">
        <v>0</v>
      </c>
      <c r="J10" s="5">
        <f t="shared" si="3"/>
        <v>-3620.6800000000003</v>
      </c>
      <c r="K10" s="5">
        <f t="shared" si="4"/>
        <v>-4175.04</v>
      </c>
      <c r="L10" s="5">
        <f t="shared" si="5"/>
        <v>-6144.9400000000005</v>
      </c>
      <c r="M10" s="5">
        <f t="shared" si="6"/>
        <v>0</v>
      </c>
      <c r="N10" s="40">
        <f t="shared" si="0"/>
        <v>-0.6715665454008237</v>
      </c>
      <c r="O10" s="40">
        <f t="shared" si="1"/>
        <v>-0.5347154830172034</v>
      </c>
      <c r="P10" s="40">
        <f t="shared" si="2"/>
        <v>-0.31013794426795727</v>
      </c>
      <c r="U10" s="72"/>
    </row>
    <row r="11" spans="1:21" ht="15.75">
      <c r="A11" s="143"/>
      <c r="B11" s="68" t="s">
        <v>11</v>
      </c>
      <c r="C11" s="4" t="s">
        <v>98</v>
      </c>
      <c r="D11" s="34">
        <v>109933.51</v>
      </c>
      <c r="E11" s="110">
        <v>314766.5</v>
      </c>
      <c r="F11" s="110">
        <v>125647</v>
      </c>
      <c r="G11" s="110">
        <v>573</v>
      </c>
      <c r="H11" s="5">
        <v>98526.81000000001</v>
      </c>
      <c r="I11" s="5">
        <v>0</v>
      </c>
      <c r="J11" s="5">
        <f t="shared" si="3"/>
        <v>-11406.699999999983</v>
      </c>
      <c r="K11" s="5">
        <f t="shared" si="4"/>
        <v>-27120.189999999988</v>
      </c>
      <c r="L11" s="5">
        <f t="shared" si="5"/>
        <v>-216239.69</v>
      </c>
      <c r="M11" s="5">
        <f t="shared" si="6"/>
        <v>-573</v>
      </c>
      <c r="N11" s="40">
        <f t="shared" si="0"/>
        <v>0.8962400090745762</v>
      </c>
      <c r="O11" s="40">
        <f t="shared" si="1"/>
        <v>0.7841556901477951</v>
      </c>
      <c r="P11" s="40">
        <f t="shared" si="2"/>
        <v>0.3130155527986619</v>
      </c>
      <c r="U11" s="72"/>
    </row>
    <row r="12" spans="1:21" ht="15.75">
      <c r="A12" s="143"/>
      <c r="B12" s="68" t="s">
        <v>15</v>
      </c>
      <c r="C12" s="4" t="s">
        <v>16</v>
      </c>
      <c r="D12" s="34">
        <v>48354.15</v>
      </c>
      <c r="E12" s="110">
        <v>1083466.2</v>
      </c>
      <c r="F12" s="110">
        <v>67900</v>
      </c>
      <c r="G12" s="110">
        <v>8300</v>
      </c>
      <c r="H12" s="5">
        <v>29114.350000000002</v>
      </c>
      <c r="I12" s="5">
        <v>0</v>
      </c>
      <c r="J12" s="5">
        <f t="shared" si="3"/>
        <v>-19239.8</v>
      </c>
      <c r="K12" s="5">
        <f t="shared" si="4"/>
        <v>-38785.649999999994</v>
      </c>
      <c r="L12" s="5">
        <f t="shared" si="5"/>
        <v>-1054351.8499999999</v>
      </c>
      <c r="M12" s="5">
        <f t="shared" si="6"/>
        <v>-8300</v>
      </c>
      <c r="N12" s="40">
        <f t="shared" si="0"/>
        <v>0.6021065410104407</v>
      </c>
      <c r="O12" s="40">
        <f t="shared" si="1"/>
        <v>0.4287827687776142</v>
      </c>
      <c r="P12" s="40">
        <f t="shared" si="2"/>
        <v>0.026871488930619157</v>
      </c>
      <c r="U12" s="72"/>
    </row>
    <row r="13" spans="1:21" ht="15.75">
      <c r="A13" s="143"/>
      <c r="B13" s="68" t="s">
        <v>79</v>
      </c>
      <c r="C13" s="4" t="s">
        <v>101</v>
      </c>
      <c r="D13" s="34">
        <v>303997.04</v>
      </c>
      <c r="E13" s="110"/>
      <c r="F13" s="110"/>
      <c r="G13" s="110"/>
      <c r="H13" s="5">
        <v>0</v>
      </c>
      <c r="I13" s="5">
        <v>0</v>
      </c>
      <c r="J13" s="5">
        <f t="shared" si="3"/>
        <v>-303997.04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0">
        <f t="shared" si="0"/>
        <v>0</v>
      </c>
      <c r="O13" s="40">
        <f t="shared" si="1"/>
      </c>
      <c r="P13" s="40">
        <f t="shared" si="2"/>
      </c>
      <c r="U13" s="72"/>
    </row>
    <row r="14" spans="1:21" ht="15.75">
      <c r="A14" s="143"/>
      <c r="B14" s="68" t="s">
        <v>15</v>
      </c>
      <c r="C14" s="4" t="s">
        <v>17</v>
      </c>
      <c r="D14" s="34">
        <v>956856.5999999999</v>
      </c>
      <c r="E14" s="110">
        <v>2237196.9</v>
      </c>
      <c r="F14" s="110">
        <v>967800</v>
      </c>
      <c r="G14" s="110">
        <v>7000</v>
      </c>
      <c r="H14" s="5">
        <v>921850.14</v>
      </c>
      <c r="I14" s="5">
        <v>0</v>
      </c>
      <c r="J14" s="5">
        <f t="shared" si="3"/>
        <v>-35006.459999999846</v>
      </c>
      <c r="K14" s="5">
        <f t="shared" si="4"/>
        <v>-45949.859999999986</v>
      </c>
      <c r="L14" s="5">
        <f t="shared" si="5"/>
        <v>-1315346.7599999998</v>
      </c>
      <c r="M14" s="5">
        <f t="shared" si="6"/>
        <v>-7000</v>
      </c>
      <c r="N14" s="40">
        <f t="shared" si="0"/>
        <v>0.9634151449652959</v>
      </c>
      <c r="O14" s="40">
        <f t="shared" si="1"/>
        <v>0.9525213267203968</v>
      </c>
      <c r="P14" s="40">
        <f t="shared" si="2"/>
        <v>0.4120558811788091</v>
      </c>
      <c r="U14" s="72"/>
    </row>
    <row r="15" spans="1:21" ht="15.75">
      <c r="A15" s="143"/>
      <c r="B15" s="68" t="s">
        <v>18</v>
      </c>
      <c r="C15" s="4" t="s">
        <v>19</v>
      </c>
      <c r="D15" s="34">
        <v>87129.42</v>
      </c>
      <c r="E15" s="110">
        <v>228385.6</v>
      </c>
      <c r="F15" s="110">
        <v>107470.6</v>
      </c>
      <c r="G15" s="110">
        <v>19325.6</v>
      </c>
      <c r="H15" s="5">
        <v>79389.40000000001</v>
      </c>
      <c r="I15" s="5">
        <v>1607.1599999999999</v>
      </c>
      <c r="J15" s="5">
        <f t="shared" si="3"/>
        <v>-7740.0199999999895</v>
      </c>
      <c r="K15" s="5">
        <f t="shared" si="4"/>
        <v>-28081.199999999997</v>
      </c>
      <c r="L15" s="5">
        <f t="shared" si="5"/>
        <v>-148996.2</v>
      </c>
      <c r="M15" s="5">
        <f t="shared" si="6"/>
        <v>-17718.44</v>
      </c>
      <c r="N15" s="40">
        <f t="shared" si="0"/>
        <v>0.9111664005108724</v>
      </c>
      <c r="O15" s="40">
        <f t="shared" si="1"/>
        <v>0.7387080745803969</v>
      </c>
      <c r="P15" s="40">
        <f t="shared" si="2"/>
        <v>0.34761123293237406</v>
      </c>
      <c r="U15" s="72"/>
    </row>
    <row r="16" spans="1:21" ht="15.75">
      <c r="A16" s="143"/>
      <c r="B16" s="68" t="s">
        <v>15</v>
      </c>
      <c r="C16" s="4" t="s">
        <v>20</v>
      </c>
      <c r="D16" s="34">
        <v>18.06</v>
      </c>
      <c r="E16" s="110"/>
      <c r="F16" s="110"/>
      <c r="G16" s="110"/>
      <c r="H16" s="5">
        <v>-0.1</v>
      </c>
      <c r="I16" s="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40">
        <f t="shared" si="0"/>
        <v>-0.005537098560354375</v>
      </c>
      <c r="O16" s="40">
        <f t="shared" si="1"/>
      </c>
      <c r="P16" s="40">
        <f t="shared" si="2"/>
      </c>
      <c r="U16" s="72"/>
    </row>
    <row r="17" spans="1:21" ht="15.75">
      <c r="A17" s="144"/>
      <c r="B17" s="51"/>
      <c r="C17" s="52" t="s">
        <v>9</v>
      </c>
      <c r="D17" s="29">
        <f>SUM(D6:D16)</f>
        <v>5829968.07</v>
      </c>
      <c r="E17" s="112">
        <f>SUM(E6:E16)</f>
        <v>20001705.400000002</v>
      </c>
      <c r="F17" s="112">
        <f>SUM(F6:F16)</f>
        <v>7773427.000000001</v>
      </c>
      <c r="G17" s="112">
        <f>SUM(G6:G16)</f>
        <v>1171681.0000000002</v>
      </c>
      <c r="H17" s="112">
        <f>SUM(H6:H16)</f>
        <v>5891660.17</v>
      </c>
      <c r="I17" s="112">
        <f>SUM(I6:I16)</f>
        <v>2293.5699999999997</v>
      </c>
      <c r="J17" s="29">
        <f t="shared" si="3"/>
        <v>61692.09999999963</v>
      </c>
      <c r="K17" s="29">
        <f t="shared" si="4"/>
        <v>-1881766.830000001</v>
      </c>
      <c r="L17" s="29">
        <f t="shared" si="5"/>
        <v>-14110045.230000002</v>
      </c>
      <c r="M17" s="29">
        <f>I17-G17</f>
        <v>-1169387.4300000002</v>
      </c>
      <c r="N17" s="53">
        <f t="shared" si="0"/>
        <v>1.0105818932898547</v>
      </c>
      <c r="O17" s="53">
        <f t="shared" si="1"/>
        <v>0.7579231360891405</v>
      </c>
      <c r="P17" s="53">
        <f t="shared" si="2"/>
        <v>0.29455789154858764</v>
      </c>
      <c r="U17" s="72"/>
    </row>
    <row r="18" spans="1:21" ht="15.75">
      <c r="A18" s="69" t="s">
        <v>76</v>
      </c>
      <c r="B18" s="68" t="s">
        <v>22</v>
      </c>
      <c r="C18" s="4" t="s">
        <v>23</v>
      </c>
      <c r="D18" s="34">
        <v>28</v>
      </c>
      <c r="E18" s="110">
        <v>140</v>
      </c>
      <c r="F18" s="110">
        <v>70</v>
      </c>
      <c r="G18" s="110">
        <v>15</v>
      </c>
      <c r="H18" s="5">
        <v>28</v>
      </c>
      <c r="I18" s="5">
        <v>0</v>
      </c>
      <c r="J18" s="5">
        <f t="shared" si="3"/>
        <v>0</v>
      </c>
      <c r="K18" s="5">
        <f t="shared" si="4"/>
        <v>-42</v>
      </c>
      <c r="L18" s="5">
        <f t="shared" si="5"/>
        <v>-112</v>
      </c>
      <c r="M18" s="5">
        <f t="shared" si="6"/>
        <v>-15</v>
      </c>
      <c r="N18" s="40">
        <f t="shared" si="0"/>
        <v>1</v>
      </c>
      <c r="O18" s="40">
        <f t="shared" si="1"/>
        <v>0.4</v>
      </c>
      <c r="P18" s="40">
        <f t="shared" si="2"/>
        <v>0.2</v>
      </c>
      <c r="U18" s="72"/>
    </row>
    <row r="19" spans="1:21" ht="19.5" customHeight="1">
      <c r="A19" s="69" t="s">
        <v>21</v>
      </c>
      <c r="B19" s="68" t="s">
        <v>22</v>
      </c>
      <c r="C19" s="4" t="s">
        <v>97</v>
      </c>
      <c r="D19" s="34">
        <v>106.2</v>
      </c>
      <c r="E19" s="110"/>
      <c r="F19" s="110"/>
      <c r="G19" s="110"/>
      <c r="H19" s="5">
        <v>52</v>
      </c>
      <c r="I19" s="5">
        <v>0</v>
      </c>
      <c r="J19" s="5">
        <f t="shared" si="3"/>
        <v>-54.2</v>
      </c>
      <c r="K19" s="5">
        <f t="shared" si="4"/>
        <v>52</v>
      </c>
      <c r="L19" s="5">
        <f t="shared" si="5"/>
        <v>52</v>
      </c>
      <c r="M19" s="5">
        <f t="shared" si="6"/>
        <v>0</v>
      </c>
      <c r="N19" s="40">
        <f t="shared" si="0"/>
        <v>0.4896421845574388</v>
      </c>
      <c r="O19" s="40">
        <f t="shared" si="1"/>
      </c>
      <c r="P19" s="40">
        <f t="shared" si="2"/>
      </c>
      <c r="U19" s="72"/>
    </row>
    <row r="20" spans="1:21" ht="31.5">
      <c r="A20" s="70" t="s">
        <v>25</v>
      </c>
      <c r="B20" s="71" t="s">
        <v>78</v>
      </c>
      <c r="C20" s="4" t="s">
        <v>26</v>
      </c>
      <c r="D20" s="34">
        <v>406.4</v>
      </c>
      <c r="E20" s="110">
        <v>969.6</v>
      </c>
      <c r="F20" s="110">
        <v>502</v>
      </c>
      <c r="G20" s="110">
        <v>80</v>
      </c>
      <c r="H20" s="5">
        <v>6.4</v>
      </c>
      <c r="I20" s="5">
        <v>0</v>
      </c>
      <c r="J20" s="5">
        <f t="shared" si="3"/>
        <v>-400</v>
      </c>
      <c r="K20" s="5">
        <f t="shared" si="4"/>
        <v>-495.6</v>
      </c>
      <c r="L20" s="5">
        <f t="shared" si="5"/>
        <v>-963.2</v>
      </c>
      <c r="M20" s="5">
        <f t="shared" si="6"/>
        <v>-80</v>
      </c>
      <c r="N20" s="40">
        <f t="shared" si="0"/>
        <v>0.015748031496062995</v>
      </c>
      <c r="O20" s="40">
        <f t="shared" si="1"/>
        <v>0.012749003984063745</v>
      </c>
      <c r="P20" s="40">
        <f t="shared" si="2"/>
        <v>0.006600660066006601</v>
      </c>
      <c r="U20" s="72"/>
    </row>
    <row r="21" spans="1:21" ht="15.75">
      <c r="A21" s="69" t="s">
        <v>24</v>
      </c>
      <c r="B21" s="68" t="s">
        <v>11</v>
      </c>
      <c r="C21" s="4" t="s">
        <v>80</v>
      </c>
      <c r="D21" s="34">
        <v>30</v>
      </c>
      <c r="E21" s="110">
        <v>120</v>
      </c>
      <c r="F21" s="110">
        <v>40</v>
      </c>
      <c r="G21" s="110">
        <v>10</v>
      </c>
      <c r="H21" s="5">
        <v>20</v>
      </c>
      <c r="I21" s="5">
        <v>0</v>
      </c>
      <c r="J21" s="5">
        <f t="shared" si="3"/>
        <v>-10</v>
      </c>
      <c r="K21" s="5">
        <f t="shared" si="4"/>
        <v>-20</v>
      </c>
      <c r="L21" s="5">
        <f t="shared" si="5"/>
        <v>-100</v>
      </c>
      <c r="M21" s="5">
        <f t="shared" si="6"/>
        <v>-10</v>
      </c>
      <c r="N21" s="40">
        <f t="shared" si="0"/>
        <v>0.6666666666666666</v>
      </c>
      <c r="O21" s="40">
        <f t="shared" si="1"/>
        <v>0.5</v>
      </c>
      <c r="P21" s="40">
        <f t="shared" si="2"/>
        <v>0.16666666666666666</v>
      </c>
      <c r="U21" s="72"/>
    </row>
    <row r="22" spans="1:21" ht="27.75" customHeight="1">
      <c r="A22" s="149"/>
      <c r="B22" s="149"/>
      <c r="C22" s="48" t="s">
        <v>27</v>
      </c>
      <c r="D22" s="90">
        <f aca="true" t="shared" si="7" ref="D22:I22">D26+D29+D37+D48+D50+D56+D60+D62+D73</f>
        <v>2313282.4599999995</v>
      </c>
      <c r="E22" s="113">
        <f t="shared" si="7"/>
        <v>6567862.7299999995</v>
      </c>
      <c r="F22" s="113">
        <f t="shared" si="7"/>
        <v>3172603.6100000003</v>
      </c>
      <c r="G22" s="113">
        <f t="shared" si="7"/>
        <v>521837.0999999999</v>
      </c>
      <c r="H22" s="113">
        <f t="shared" si="7"/>
        <v>2929131.1700000004</v>
      </c>
      <c r="I22" s="113">
        <f t="shared" si="7"/>
        <v>58357.06999999999</v>
      </c>
      <c r="J22" s="87">
        <f t="shared" si="3"/>
        <v>615848.7100000009</v>
      </c>
      <c r="K22" s="87">
        <f t="shared" si="4"/>
        <v>-243472.43999999994</v>
      </c>
      <c r="L22" s="87">
        <f t="shared" si="5"/>
        <v>-3638731.559999999</v>
      </c>
      <c r="M22" s="87">
        <f t="shared" si="6"/>
        <v>-463480.0299999999</v>
      </c>
      <c r="N22" s="47">
        <f t="shared" si="0"/>
        <v>1.2662228762154712</v>
      </c>
      <c r="O22" s="47">
        <f t="shared" si="1"/>
        <v>0.923257844367138</v>
      </c>
      <c r="P22" s="47">
        <f t="shared" si="2"/>
        <v>0.4459793528601961</v>
      </c>
      <c r="T22" s="6"/>
      <c r="U22" s="72"/>
    </row>
    <row r="23" spans="1:16" ht="15.75">
      <c r="A23" s="142" t="s">
        <v>25</v>
      </c>
      <c r="B23" s="145" t="s">
        <v>78</v>
      </c>
      <c r="C23" s="7" t="s">
        <v>99</v>
      </c>
      <c r="D23" s="37">
        <v>45588.1</v>
      </c>
      <c r="E23" s="110">
        <f>135475.5+25225.6</f>
        <v>160701.1</v>
      </c>
      <c r="F23" s="110">
        <v>74050</v>
      </c>
      <c r="G23" s="110">
        <v>13600</v>
      </c>
      <c r="H23" s="5">
        <v>65277.2</v>
      </c>
      <c r="I23" s="5">
        <v>1270.6</v>
      </c>
      <c r="J23" s="8">
        <f t="shared" si="3"/>
        <v>19689.1</v>
      </c>
      <c r="K23" s="8">
        <f t="shared" si="4"/>
        <v>-8772.800000000003</v>
      </c>
      <c r="L23" s="8">
        <f t="shared" si="5"/>
        <v>-95423.90000000001</v>
      </c>
      <c r="M23" s="8">
        <f t="shared" si="6"/>
        <v>-12329.4</v>
      </c>
      <c r="N23" s="41">
        <f t="shared" si="0"/>
        <v>1.4318912172255478</v>
      </c>
      <c r="O23" s="41">
        <f t="shared" si="1"/>
        <v>0.8815286968264686</v>
      </c>
      <c r="P23" s="41">
        <f t="shared" si="2"/>
        <v>0.40620257110872293</v>
      </c>
    </row>
    <row r="24" spans="1:16" ht="15.75">
      <c r="A24" s="143"/>
      <c r="B24" s="146"/>
      <c r="C24" s="7" t="s">
        <v>28</v>
      </c>
      <c r="D24" s="36">
        <v>3971.23</v>
      </c>
      <c r="E24" s="110">
        <v>39519.1</v>
      </c>
      <c r="F24" s="110">
        <v>39519.1</v>
      </c>
      <c r="G24" s="110">
        <v>0</v>
      </c>
      <c r="H24" s="5">
        <v>39519.14</v>
      </c>
      <c r="I24" s="5">
        <v>0</v>
      </c>
      <c r="J24" s="5">
        <f t="shared" si="3"/>
        <v>35547.909999999996</v>
      </c>
      <c r="K24" s="5">
        <f t="shared" si="4"/>
        <v>0.040000000000873115</v>
      </c>
      <c r="L24" s="5">
        <f t="shared" si="5"/>
        <v>0.040000000000873115</v>
      </c>
      <c r="M24" s="5">
        <f t="shared" si="6"/>
        <v>0</v>
      </c>
      <c r="N24" s="41">
        <f t="shared" si="0"/>
        <v>9.951360157935953</v>
      </c>
      <c r="O24" s="41">
        <f t="shared" si="1"/>
        <v>1.0000010121687994</v>
      </c>
      <c r="P24" s="41">
        <f t="shared" si="2"/>
        <v>1.0000010121687994</v>
      </c>
    </row>
    <row r="25" spans="1:16" ht="15.75">
      <c r="A25" s="143"/>
      <c r="B25" s="146"/>
      <c r="C25" s="7" t="s">
        <v>51</v>
      </c>
      <c r="D25" s="36">
        <v>31813.14</v>
      </c>
      <c r="E25" s="110">
        <f>110819.4+14383.9-8662.9</f>
        <v>116540.4</v>
      </c>
      <c r="F25" s="110">
        <v>48150</v>
      </c>
      <c r="G25" s="110">
        <v>8450</v>
      </c>
      <c r="H25" s="5">
        <v>44939.85</v>
      </c>
      <c r="I25" s="5">
        <v>848.3800000000001</v>
      </c>
      <c r="J25" s="8">
        <f t="shared" si="3"/>
        <v>13126.71</v>
      </c>
      <c r="K25" s="8">
        <f t="shared" si="4"/>
        <v>-3210.1500000000015</v>
      </c>
      <c r="L25" s="8">
        <f t="shared" si="5"/>
        <v>-71600.54999999999</v>
      </c>
      <c r="M25" s="8">
        <f t="shared" si="6"/>
        <v>-7601.62</v>
      </c>
      <c r="N25" s="41">
        <f t="shared" si="0"/>
        <v>1.4126191253048268</v>
      </c>
      <c r="O25" s="41">
        <f t="shared" si="1"/>
        <v>0.9333302180685358</v>
      </c>
      <c r="P25" s="41">
        <f t="shared" si="2"/>
        <v>0.38561606103977675</v>
      </c>
    </row>
    <row r="26" spans="1:16" ht="15.75">
      <c r="A26" s="144"/>
      <c r="B26" s="147"/>
      <c r="C26" s="52" t="s">
        <v>9</v>
      </c>
      <c r="D26" s="29">
        <f aca="true" t="shared" si="8" ref="D26:I26">SUM(D23:D25)</f>
        <v>81372.47</v>
      </c>
      <c r="E26" s="112">
        <f t="shared" si="8"/>
        <v>316760.6</v>
      </c>
      <c r="F26" s="112">
        <f t="shared" si="8"/>
        <v>161719.1</v>
      </c>
      <c r="G26" s="112">
        <f t="shared" si="8"/>
        <v>22050</v>
      </c>
      <c r="H26" s="112">
        <f t="shared" si="8"/>
        <v>149736.19</v>
      </c>
      <c r="I26" s="112">
        <f t="shared" si="8"/>
        <v>2118.98</v>
      </c>
      <c r="J26" s="29">
        <f t="shared" si="3"/>
        <v>68363.72</v>
      </c>
      <c r="K26" s="29">
        <f t="shared" si="4"/>
        <v>-11982.910000000003</v>
      </c>
      <c r="L26" s="29">
        <f t="shared" si="5"/>
        <v>-167024.40999999997</v>
      </c>
      <c r="M26" s="29">
        <f t="shared" si="6"/>
        <v>-19931.02</v>
      </c>
      <c r="N26" s="54">
        <f t="shared" si="0"/>
        <v>1.8401332784908704</v>
      </c>
      <c r="O26" s="54">
        <f t="shared" si="1"/>
        <v>0.9259029391086149</v>
      </c>
      <c r="P26" s="54">
        <f t="shared" si="2"/>
        <v>0.4727109053335548</v>
      </c>
    </row>
    <row r="27" spans="1:16" ht="15.75">
      <c r="A27" s="135">
        <v>951</v>
      </c>
      <c r="B27" s="135" t="s">
        <v>11</v>
      </c>
      <c r="C27" s="9" t="s">
        <v>29</v>
      </c>
      <c r="D27" s="37">
        <v>30603.56</v>
      </c>
      <c r="E27" s="110">
        <v>91712.1</v>
      </c>
      <c r="F27" s="110">
        <v>41823</v>
      </c>
      <c r="G27" s="110">
        <v>11120</v>
      </c>
      <c r="H27" s="5">
        <v>38372.57</v>
      </c>
      <c r="I27" s="5">
        <v>1942.81</v>
      </c>
      <c r="J27" s="5">
        <f t="shared" si="3"/>
        <v>7769.009999999998</v>
      </c>
      <c r="K27" s="5">
        <f t="shared" si="4"/>
        <v>-3450.4300000000003</v>
      </c>
      <c r="L27" s="5">
        <f t="shared" si="5"/>
        <v>-53339.530000000006</v>
      </c>
      <c r="M27" s="5">
        <f t="shared" si="6"/>
        <v>-9177.19</v>
      </c>
      <c r="N27" s="41">
        <f t="shared" si="0"/>
        <v>1.2538596816840917</v>
      </c>
      <c r="O27" s="41">
        <f t="shared" si="1"/>
        <v>0.9174992229156206</v>
      </c>
      <c r="P27" s="41">
        <f t="shared" si="2"/>
        <v>0.4184024790621957</v>
      </c>
    </row>
    <row r="28" spans="1:16" ht="15.75">
      <c r="A28" s="135"/>
      <c r="B28" s="135"/>
      <c r="C28" s="7" t="s">
        <v>30</v>
      </c>
      <c r="D28" s="37">
        <v>3402.48</v>
      </c>
      <c r="E28" s="110">
        <v>14224.9</v>
      </c>
      <c r="F28" s="110">
        <v>2909.6000000000004</v>
      </c>
      <c r="G28" s="110">
        <v>287.5</v>
      </c>
      <c r="H28" s="5">
        <v>3877.89</v>
      </c>
      <c r="I28" s="5">
        <v>3.38</v>
      </c>
      <c r="J28" s="5">
        <f t="shared" si="3"/>
        <v>475.40999999999985</v>
      </c>
      <c r="K28" s="5">
        <f t="shared" si="4"/>
        <v>968.2899999999995</v>
      </c>
      <c r="L28" s="5">
        <f t="shared" si="5"/>
        <v>-10347.01</v>
      </c>
      <c r="M28" s="5">
        <f t="shared" si="6"/>
        <v>-284.12</v>
      </c>
      <c r="N28" s="41">
        <f t="shared" si="0"/>
        <v>1.1397245538548353</v>
      </c>
      <c r="O28" s="41">
        <f t="shared" si="1"/>
        <v>1.3327914489964254</v>
      </c>
      <c r="P28" s="41">
        <f t="shared" si="2"/>
        <v>0.2726128127438506</v>
      </c>
    </row>
    <row r="29" spans="1:16" ht="15.75">
      <c r="A29" s="135"/>
      <c r="B29" s="135"/>
      <c r="C29" s="55" t="s">
        <v>9</v>
      </c>
      <c r="D29" s="29">
        <f>D27+D28</f>
        <v>34006.04</v>
      </c>
      <c r="E29" s="112">
        <f>E27+E28</f>
        <v>105937</v>
      </c>
      <c r="F29" s="112">
        <f>F27+F28</f>
        <v>44732.6</v>
      </c>
      <c r="G29" s="112">
        <f>G27+G28</f>
        <v>11407.5</v>
      </c>
      <c r="H29" s="112">
        <f>H27+H28</f>
        <v>42250.46</v>
      </c>
      <c r="I29" s="112">
        <f>I27+I28</f>
        <v>1946.19</v>
      </c>
      <c r="J29" s="29">
        <f t="shared" si="3"/>
        <v>8244.419999999998</v>
      </c>
      <c r="K29" s="29">
        <f t="shared" si="4"/>
        <v>-2482.1399999999994</v>
      </c>
      <c r="L29" s="29">
        <f t="shared" si="5"/>
        <v>-63686.54</v>
      </c>
      <c r="M29" s="29">
        <f t="shared" si="6"/>
        <v>-9461.31</v>
      </c>
      <c r="N29" s="54">
        <f t="shared" si="0"/>
        <v>1.242439872446189</v>
      </c>
      <c r="O29" s="54">
        <f t="shared" si="1"/>
        <v>0.9445116089831577</v>
      </c>
      <c r="P29" s="54">
        <f t="shared" si="2"/>
        <v>0.398826283545881</v>
      </c>
    </row>
    <row r="30" spans="1:16" ht="15.75">
      <c r="A30" s="150" t="s">
        <v>31</v>
      </c>
      <c r="B30" s="135" t="s">
        <v>32</v>
      </c>
      <c r="C30" s="7" t="s">
        <v>33</v>
      </c>
      <c r="D30" s="36"/>
      <c r="E30" s="88">
        <v>496</v>
      </c>
      <c r="F30" s="88">
        <f>G30</f>
        <v>0</v>
      </c>
      <c r="G30" s="88">
        <v>0</v>
      </c>
      <c r="H30" s="97">
        <v>0</v>
      </c>
      <c r="I30" s="97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1">
        <f t="shared" si="0"/>
      </c>
      <c r="O30" s="41">
        <f t="shared" si="1"/>
      </c>
      <c r="P30" s="41">
        <f t="shared" si="2"/>
        <v>0</v>
      </c>
    </row>
    <row r="31" spans="1:16" ht="15.75">
      <c r="A31" s="150"/>
      <c r="B31" s="135"/>
      <c r="C31" s="10" t="s">
        <v>34</v>
      </c>
      <c r="D31" s="36">
        <v>27913.09</v>
      </c>
      <c r="E31" s="88">
        <v>100081.7</v>
      </c>
      <c r="F31" s="88">
        <v>47000</v>
      </c>
      <c r="G31" s="88">
        <v>9000</v>
      </c>
      <c r="H31" s="5">
        <v>36824.719999999994</v>
      </c>
      <c r="I31" s="5">
        <v>122.05</v>
      </c>
      <c r="J31" s="3">
        <f t="shared" si="3"/>
        <v>8911.629999999994</v>
      </c>
      <c r="K31" s="3">
        <f t="shared" si="4"/>
        <v>-10175.280000000006</v>
      </c>
      <c r="L31" s="3">
        <f t="shared" si="5"/>
        <v>-63256.98</v>
      </c>
      <c r="M31" s="3">
        <f t="shared" si="6"/>
        <v>-8877.95</v>
      </c>
      <c r="N31" s="41">
        <f t="shared" si="0"/>
        <v>1.3192634710094795</v>
      </c>
      <c r="O31" s="41">
        <f t="shared" si="1"/>
        <v>0.7835046808510637</v>
      </c>
      <c r="P31" s="41">
        <f t="shared" si="2"/>
        <v>0.3679465876378998</v>
      </c>
    </row>
    <row r="32" spans="1:16" ht="15.75">
      <c r="A32" s="150"/>
      <c r="B32" s="135"/>
      <c r="C32" s="9" t="s">
        <v>35</v>
      </c>
      <c r="D32" s="36">
        <v>1237.92</v>
      </c>
      <c r="E32" s="88">
        <v>557</v>
      </c>
      <c r="F32" s="88">
        <v>278.5</v>
      </c>
      <c r="G32" s="88">
        <v>46.5</v>
      </c>
      <c r="H32" s="5">
        <v>3580.74</v>
      </c>
      <c r="I32" s="5">
        <v>0</v>
      </c>
      <c r="J32" s="3">
        <f t="shared" si="3"/>
        <v>2342.8199999999997</v>
      </c>
      <c r="K32" s="3">
        <f t="shared" si="4"/>
        <v>3302.24</v>
      </c>
      <c r="L32" s="3">
        <f t="shared" si="5"/>
        <v>3023.74</v>
      </c>
      <c r="M32" s="3">
        <f t="shared" si="6"/>
        <v>-46.5</v>
      </c>
      <c r="N32" s="41">
        <f t="shared" si="0"/>
        <v>2.8925455602946877</v>
      </c>
      <c r="O32" s="41">
        <f t="shared" si="1"/>
        <v>12.857235188509874</v>
      </c>
      <c r="P32" s="41">
        <f t="shared" si="2"/>
        <v>6.428617594254937</v>
      </c>
    </row>
    <row r="33" spans="1:16" ht="15.75">
      <c r="A33" s="150"/>
      <c r="B33" s="135"/>
      <c r="C33" s="9" t="s">
        <v>36</v>
      </c>
      <c r="D33" s="5">
        <f aca="true" t="shared" si="9" ref="D33:I33">D34+D36+D35</f>
        <v>27674.95</v>
      </c>
      <c r="E33" s="110">
        <f t="shared" si="9"/>
        <v>200264</v>
      </c>
      <c r="F33" s="110">
        <f t="shared" si="9"/>
        <v>155084.4</v>
      </c>
      <c r="G33" s="110">
        <f t="shared" si="9"/>
        <v>9353.7</v>
      </c>
      <c r="H33" s="110">
        <f t="shared" si="9"/>
        <v>149298.5</v>
      </c>
      <c r="I33" s="110">
        <f t="shared" si="9"/>
        <v>162.52</v>
      </c>
      <c r="J33" s="11">
        <f t="shared" si="3"/>
        <v>121623.55</v>
      </c>
      <c r="K33" s="11">
        <f t="shared" si="4"/>
        <v>-5785.899999999994</v>
      </c>
      <c r="L33" s="11">
        <f t="shared" si="5"/>
        <v>-50965.5</v>
      </c>
      <c r="M33" s="11">
        <f t="shared" si="6"/>
        <v>-9191.18</v>
      </c>
      <c r="N33" s="41">
        <f t="shared" si="0"/>
        <v>5.394716160282132</v>
      </c>
      <c r="O33" s="41">
        <f t="shared" si="1"/>
        <v>0.9626919277503089</v>
      </c>
      <c r="P33" s="41">
        <f t="shared" si="2"/>
        <v>0.7455084288738865</v>
      </c>
    </row>
    <row r="34" spans="1:16" ht="15.75">
      <c r="A34" s="150"/>
      <c r="B34" s="135"/>
      <c r="C34" s="12" t="s">
        <v>37</v>
      </c>
      <c r="D34" s="38">
        <v>13610.88</v>
      </c>
      <c r="E34" s="114">
        <f>48594.6+85630.3+29092.9</f>
        <v>163317.8</v>
      </c>
      <c r="F34" s="114">
        <v>137357.7</v>
      </c>
      <c r="G34" s="114">
        <v>5011.1</v>
      </c>
      <c r="H34" s="100">
        <v>131001.99</v>
      </c>
      <c r="I34" s="100">
        <v>0</v>
      </c>
      <c r="J34" s="13">
        <f t="shared" si="3"/>
        <v>117391.11</v>
      </c>
      <c r="K34" s="13">
        <f t="shared" si="4"/>
        <v>-6355.710000000006</v>
      </c>
      <c r="L34" s="13">
        <f t="shared" si="5"/>
        <v>-32315.809999999983</v>
      </c>
      <c r="M34" s="13">
        <f t="shared" si="6"/>
        <v>-5011.1</v>
      </c>
      <c r="N34" s="41">
        <f t="shared" si="0"/>
        <v>9.624799425165751</v>
      </c>
      <c r="O34" s="41">
        <f t="shared" si="1"/>
        <v>0.9537287680268379</v>
      </c>
      <c r="P34" s="41">
        <f t="shared" si="2"/>
        <v>0.8021292841319195</v>
      </c>
    </row>
    <row r="35" spans="1:16" ht="15.75">
      <c r="A35" s="150"/>
      <c r="B35" s="135"/>
      <c r="C35" s="12" t="s">
        <v>38</v>
      </c>
      <c r="D35" s="38">
        <v>1307.34</v>
      </c>
      <c r="E35" s="114">
        <v>1867.8</v>
      </c>
      <c r="F35" s="114">
        <v>160.3</v>
      </c>
      <c r="G35" s="114">
        <v>0</v>
      </c>
      <c r="H35" s="100">
        <v>893.33</v>
      </c>
      <c r="I35" s="100">
        <v>0</v>
      </c>
      <c r="J35" s="13">
        <f t="shared" si="3"/>
        <v>-414.0099999999999</v>
      </c>
      <c r="K35" s="13">
        <f t="shared" si="4"/>
        <v>733.03</v>
      </c>
      <c r="L35" s="13">
        <f t="shared" si="5"/>
        <v>-974.4699999999999</v>
      </c>
      <c r="M35" s="13">
        <f t="shared" si="6"/>
        <v>0</v>
      </c>
      <c r="N35" s="41">
        <f t="shared" si="0"/>
        <v>0.6833188000061193</v>
      </c>
      <c r="O35" s="41">
        <f t="shared" si="1"/>
        <v>5.5728633811603245</v>
      </c>
      <c r="P35" s="41">
        <f t="shared" si="2"/>
        <v>0.4782792590213085</v>
      </c>
    </row>
    <row r="36" spans="1:16" ht="15.75">
      <c r="A36" s="150"/>
      <c r="B36" s="135"/>
      <c r="C36" s="12" t="s">
        <v>39</v>
      </c>
      <c r="D36" s="29">
        <v>12756.73</v>
      </c>
      <c r="E36" s="110">
        <f>35078.4+85630.3-85630.3</f>
        <v>35078.40000000001</v>
      </c>
      <c r="F36" s="110">
        <v>17566.4</v>
      </c>
      <c r="G36" s="110">
        <v>4342.6</v>
      </c>
      <c r="H36" s="98">
        <v>17403.18</v>
      </c>
      <c r="I36" s="100">
        <v>162.52</v>
      </c>
      <c r="J36" s="13">
        <f t="shared" si="3"/>
        <v>4646.450000000001</v>
      </c>
      <c r="K36" s="13">
        <f t="shared" si="4"/>
        <v>-163.22000000000116</v>
      </c>
      <c r="L36" s="13">
        <f t="shared" si="5"/>
        <v>-17675.22000000001</v>
      </c>
      <c r="M36" s="13">
        <f t="shared" si="6"/>
        <v>-4180.08</v>
      </c>
      <c r="N36" s="41">
        <f t="shared" si="0"/>
        <v>1.3642351919339832</v>
      </c>
      <c r="O36" s="41">
        <f t="shared" si="1"/>
        <v>0.9907083978504417</v>
      </c>
      <c r="P36" s="41">
        <f t="shared" si="2"/>
        <v>0.49612240010946895</v>
      </c>
    </row>
    <row r="37" spans="1:16" ht="15.75">
      <c r="A37" s="150"/>
      <c r="B37" s="150"/>
      <c r="C37" s="55" t="s">
        <v>9</v>
      </c>
      <c r="D37" s="29">
        <f>SUM(D30:D33)</f>
        <v>56825.96000000001</v>
      </c>
      <c r="E37" s="112">
        <f>SUM(E30:E33)</f>
        <v>301398.7</v>
      </c>
      <c r="F37" s="112">
        <f>SUM(F30:F33)</f>
        <v>202362.9</v>
      </c>
      <c r="G37" s="112">
        <f>SUM(G30:G33)</f>
        <v>18400.2</v>
      </c>
      <c r="H37" s="112">
        <f>SUM(H30:H33)</f>
        <v>189703.96</v>
      </c>
      <c r="I37" s="112">
        <f>SUM(I30:I33)</f>
        <v>284.57</v>
      </c>
      <c r="J37" s="29">
        <f t="shared" si="3"/>
        <v>132878</v>
      </c>
      <c r="K37" s="29">
        <f t="shared" si="4"/>
        <v>-12658.940000000002</v>
      </c>
      <c r="L37" s="29">
        <f t="shared" si="5"/>
        <v>-111694.74000000002</v>
      </c>
      <c r="M37" s="29">
        <f t="shared" si="6"/>
        <v>-18115.63</v>
      </c>
      <c r="N37" s="54">
        <f t="shared" si="0"/>
        <v>3.338332691607849</v>
      </c>
      <c r="O37" s="54">
        <f aca="true" t="shared" si="10" ref="O37:O69">_xlfn.IFERROR(H37/F37,"")</f>
        <v>0.9374443635666418</v>
      </c>
      <c r="P37" s="54">
        <f aca="true" t="shared" si="11" ref="P37:P69">_xlfn.IFERROR(H37/E37,"")</f>
        <v>0.629412004763126</v>
      </c>
    </row>
    <row r="38" spans="1:16" ht="31.5">
      <c r="A38" s="150" t="s">
        <v>77</v>
      </c>
      <c r="B38" s="135" t="s">
        <v>15</v>
      </c>
      <c r="C38" s="9" t="s">
        <v>41</v>
      </c>
      <c r="D38" s="37">
        <v>126695.98</v>
      </c>
      <c r="E38" s="110">
        <v>326627.4</v>
      </c>
      <c r="F38" s="110">
        <v>157000.5</v>
      </c>
      <c r="G38" s="110">
        <v>34800</v>
      </c>
      <c r="H38" s="5">
        <v>116691.65999999999</v>
      </c>
      <c r="I38" s="5">
        <v>7617.57</v>
      </c>
      <c r="J38" s="11">
        <f t="shared" si="3"/>
        <v>-10004.320000000007</v>
      </c>
      <c r="K38" s="11">
        <f t="shared" si="4"/>
        <v>-40308.84000000001</v>
      </c>
      <c r="L38" s="11">
        <f t="shared" si="5"/>
        <v>-209935.74000000005</v>
      </c>
      <c r="M38" s="11">
        <f t="shared" si="6"/>
        <v>-27182.43</v>
      </c>
      <c r="N38" s="41">
        <f t="shared" si="0"/>
        <v>0.9210368000626381</v>
      </c>
      <c r="O38" s="41">
        <f t="shared" si="10"/>
        <v>0.7432566138324399</v>
      </c>
      <c r="P38" s="41">
        <f t="shared" si="11"/>
        <v>0.35726231173502276</v>
      </c>
    </row>
    <row r="39" spans="1:16" ht="15.75">
      <c r="A39" s="150"/>
      <c r="B39" s="135"/>
      <c r="C39" s="9" t="s">
        <v>42</v>
      </c>
      <c r="D39" s="37">
        <f>38921.04+955.13</f>
        <v>39876.17</v>
      </c>
      <c r="E39" s="110">
        <f>245061.4+9204.6</f>
        <v>254266</v>
      </c>
      <c r="F39" s="110">
        <v>110504.6</v>
      </c>
      <c r="G39" s="110">
        <v>23400</v>
      </c>
      <c r="H39" s="5">
        <v>150456.62</v>
      </c>
      <c r="I39" s="5">
        <v>209.97</v>
      </c>
      <c r="J39" s="11">
        <f t="shared" si="3"/>
        <v>110580.45</v>
      </c>
      <c r="K39" s="11">
        <f t="shared" si="4"/>
        <v>39952.01999999999</v>
      </c>
      <c r="L39" s="11">
        <f t="shared" si="5"/>
        <v>-103809.38</v>
      </c>
      <c r="M39" s="11">
        <f t="shared" si="6"/>
        <v>-23190.03</v>
      </c>
      <c r="N39" s="41">
        <f t="shared" si="0"/>
        <v>3.7730960621343526</v>
      </c>
      <c r="O39" s="41">
        <f t="shared" si="10"/>
        <v>1.3615416914770968</v>
      </c>
      <c r="P39" s="41">
        <f t="shared" si="11"/>
        <v>0.5917292127142442</v>
      </c>
    </row>
    <row r="40" spans="1:16" ht="31.5">
      <c r="A40" s="150"/>
      <c r="B40" s="135"/>
      <c r="C40" s="7" t="s">
        <v>43</v>
      </c>
      <c r="D40" s="37">
        <v>18083.62</v>
      </c>
      <c r="E40" s="110">
        <f>48566.2-5534.78</f>
        <v>43031.42</v>
      </c>
      <c r="F40" s="110">
        <v>20526</v>
      </c>
      <c r="G40" s="110">
        <v>5416</v>
      </c>
      <c r="H40" s="5">
        <v>14400.48</v>
      </c>
      <c r="I40" s="5">
        <v>236.71</v>
      </c>
      <c r="J40" s="5">
        <f t="shared" si="3"/>
        <v>-3683.1399999999994</v>
      </c>
      <c r="K40" s="5">
        <f t="shared" si="4"/>
        <v>-6125.52</v>
      </c>
      <c r="L40" s="5">
        <f t="shared" si="5"/>
        <v>-28630.94</v>
      </c>
      <c r="M40" s="5">
        <f t="shared" si="6"/>
        <v>-5179.29</v>
      </c>
      <c r="N40" s="41">
        <f t="shared" si="0"/>
        <v>0.7963272840283085</v>
      </c>
      <c r="O40" s="41">
        <f t="shared" si="10"/>
        <v>0.7015726395790705</v>
      </c>
      <c r="P40" s="41">
        <f t="shared" si="11"/>
        <v>0.3346503554844344</v>
      </c>
    </row>
    <row r="41" spans="1:16" ht="31.5">
      <c r="A41" s="151"/>
      <c r="B41" s="154"/>
      <c r="C41" s="14" t="s">
        <v>82</v>
      </c>
      <c r="D41" s="37">
        <v>1481.96</v>
      </c>
      <c r="E41" s="110">
        <v>2948.3</v>
      </c>
      <c r="F41" s="110">
        <v>1689</v>
      </c>
      <c r="G41" s="110">
        <v>276.7</v>
      </c>
      <c r="H41" s="5">
        <v>1807.02</v>
      </c>
      <c r="I41" s="5">
        <v>5.93</v>
      </c>
      <c r="J41" s="5">
        <f t="shared" si="3"/>
        <v>325.05999999999995</v>
      </c>
      <c r="K41" s="5">
        <f t="shared" si="4"/>
        <v>118.01999999999998</v>
      </c>
      <c r="L41" s="5">
        <f t="shared" si="5"/>
        <v>-1141.2800000000002</v>
      </c>
      <c r="M41" s="5">
        <f t="shared" si="6"/>
        <v>-270.77</v>
      </c>
      <c r="N41" s="41">
        <f t="shared" si="0"/>
        <v>1.2193446516775082</v>
      </c>
      <c r="O41" s="41">
        <f t="shared" si="10"/>
        <v>1.0698756660746003</v>
      </c>
      <c r="P41" s="41">
        <f t="shared" si="11"/>
        <v>0.6129023505070719</v>
      </c>
    </row>
    <row r="42" spans="1:16" ht="15.75">
      <c r="A42" s="152"/>
      <c r="B42" s="155"/>
      <c r="C42" s="15" t="s">
        <v>86</v>
      </c>
      <c r="D42" s="37">
        <v>64.59</v>
      </c>
      <c r="E42" s="110">
        <v>0</v>
      </c>
      <c r="F42" s="110">
        <v>0</v>
      </c>
      <c r="G42" s="110">
        <v>0</v>
      </c>
      <c r="H42" s="5">
        <v>144.1</v>
      </c>
      <c r="I42" s="5">
        <v>0</v>
      </c>
      <c r="J42" s="5">
        <f t="shared" si="3"/>
        <v>79.50999999999999</v>
      </c>
      <c r="K42" s="5">
        <f t="shared" si="4"/>
        <v>144.1</v>
      </c>
      <c r="L42" s="5">
        <f t="shared" si="5"/>
        <v>144.1</v>
      </c>
      <c r="M42" s="5">
        <f t="shared" si="6"/>
        <v>0</v>
      </c>
      <c r="N42" s="41">
        <f t="shared" si="0"/>
        <v>2.2309955101408883</v>
      </c>
      <c r="O42" s="41">
        <f t="shared" si="10"/>
      </c>
      <c r="P42" s="41">
        <f t="shared" si="11"/>
      </c>
    </row>
    <row r="43" spans="1:16" ht="27.75" customHeight="1">
      <c r="A43" s="150"/>
      <c r="B43" s="135"/>
      <c r="C43" s="9" t="s">
        <v>44</v>
      </c>
      <c r="D43" s="37">
        <v>60969.99</v>
      </c>
      <c r="E43" s="88">
        <v>104142</v>
      </c>
      <c r="F43" s="115">
        <v>44440</v>
      </c>
      <c r="G43" s="88">
        <v>9600</v>
      </c>
      <c r="H43" s="5">
        <v>89244.15000000001</v>
      </c>
      <c r="I43" s="5">
        <v>681.23</v>
      </c>
      <c r="J43" s="3">
        <f t="shared" si="3"/>
        <v>28274.16000000001</v>
      </c>
      <c r="K43" s="3">
        <f t="shared" si="4"/>
        <v>44804.15000000001</v>
      </c>
      <c r="L43" s="3">
        <f t="shared" si="5"/>
        <v>-14897.849999999991</v>
      </c>
      <c r="M43" s="3">
        <f t="shared" si="6"/>
        <v>-8918.77</v>
      </c>
      <c r="N43" s="41">
        <f t="shared" si="0"/>
        <v>1.4637389640378817</v>
      </c>
      <c r="O43" s="41">
        <f t="shared" si="10"/>
        <v>2.0081941944194424</v>
      </c>
      <c r="P43" s="41">
        <f t="shared" si="11"/>
        <v>0.8569467649939506</v>
      </c>
    </row>
    <row r="44" spans="1:17" s="39" customFormat="1" ht="18" customHeight="1" hidden="1">
      <c r="A44" s="150"/>
      <c r="B44" s="135"/>
      <c r="C44" s="80" t="s">
        <v>45</v>
      </c>
      <c r="D44" s="133"/>
      <c r="E44" s="88">
        <v>0</v>
      </c>
      <c r="F44" s="88"/>
      <c r="G44" s="88"/>
      <c r="H44" s="5">
        <v>0</v>
      </c>
      <c r="I44" s="5">
        <v>0</v>
      </c>
      <c r="J44" s="3">
        <v>0</v>
      </c>
      <c r="K44" s="3">
        <f t="shared" si="4"/>
        <v>0</v>
      </c>
      <c r="L44" s="3">
        <f t="shared" si="5"/>
        <v>0</v>
      </c>
      <c r="M44" s="3">
        <f t="shared" si="6"/>
        <v>0</v>
      </c>
      <c r="N44" s="41">
        <f t="shared" si="0"/>
      </c>
      <c r="O44" s="44">
        <f t="shared" si="10"/>
      </c>
      <c r="P44" s="44">
        <f t="shared" si="11"/>
      </c>
      <c r="Q44" s="60"/>
    </row>
    <row r="45" spans="1:16" ht="27.75" customHeight="1">
      <c r="A45" s="150"/>
      <c r="B45" s="135"/>
      <c r="C45" s="9" t="s">
        <v>46</v>
      </c>
      <c r="D45" s="37">
        <v>19067.58</v>
      </c>
      <c r="E45" s="88">
        <v>45272.2</v>
      </c>
      <c r="F45" s="88">
        <v>12800</v>
      </c>
      <c r="G45" s="88">
        <v>2500</v>
      </c>
      <c r="H45" s="5">
        <v>32313.11</v>
      </c>
      <c r="I45" s="5">
        <v>0</v>
      </c>
      <c r="J45" s="36">
        <v>5230.72</v>
      </c>
      <c r="K45" s="3">
        <f t="shared" si="4"/>
        <v>19513.11</v>
      </c>
      <c r="L45" s="3">
        <f t="shared" si="5"/>
        <v>-12959.089999999997</v>
      </c>
      <c r="M45" s="3">
        <f t="shared" si="6"/>
        <v>-2500</v>
      </c>
      <c r="N45" s="41">
        <f t="shared" si="0"/>
        <v>1.6946623535865588</v>
      </c>
      <c r="O45" s="41">
        <f t="shared" si="10"/>
        <v>2.52446171875</v>
      </c>
      <c r="P45" s="41">
        <f t="shared" si="11"/>
        <v>0.7137517063451744</v>
      </c>
    </row>
    <row r="46" spans="1:16" ht="27.75" customHeight="1">
      <c r="A46" s="153"/>
      <c r="B46" s="156"/>
      <c r="C46" s="7" t="s">
        <v>51</v>
      </c>
      <c r="D46" s="91">
        <v>8852.49</v>
      </c>
      <c r="E46" s="116">
        <v>14007.9</v>
      </c>
      <c r="F46" s="116">
        <v>5563.8</v>
      </c>
      <c r="G46" s="116">
        <v>2831.9</v>
      </c>
      <c r="H46" s="5">
        <v>4331.589999999999</v>
      </c>
      <c r="I46" s="5">
        <v>16.05</v>
      </c>
      <c r="J46" s="36">
        <v>5230.72</v>
      </c>
      <c r="K46" s="92">
        <f t="shared" si="4"/>
        <v>-1232.210000000001</v>
      </c>
      <c r="L46" s="92">
        <f t="shared" si="5"/>
        <v>-9676.310000000001</v>
      </c>
      <c r="M46" s="92">
        <f t="shared" si="6"/>
        <v>-2815.85</v>
      </c>
      <c r="N46" s="41">
        <f t="shared" si="0"/>
        <v>0.4893075281643921</v>
      </c>
      <c r="O46" s="41">
        <f t="shared" si="10"/>
        <v>0.7785308602034579</v>
      </c>
      <c r="P46" s="41">
        <f t="shared" si="11"/>
        <v>0.30922479458020113</v>
      </c>
    </row>
    <row r="47" spans="1:16" ht="27.75" customHeight="1">
      <c r="A47" s="153"/>
      <c r="B47" s="156"/>
      <c r="C47" s="7" t="s">
        <v>106</v>
      </c>
      <c r="D47" s="91">
        <v>-0.69</v>
      </c>
      <c r="E47" s="116">
        <v>0</v>
      </c>
      <c r="F47" s="116">
        <v>0</v>
      </c>
      <c r="G47" s="116">
        <v>0</v>
      </c>
      <c r="H47" s="5">
        <v>16756.62</v>
      </c>
      <c r="I47" s="5">
        <v>246.43</v>
      </c>
      <c r="J47" s="36">
        <v>5230.72</v>
      </c>
      <c r="K47" s="92">
        <f t="shared" si="4"/>
        <v>16756.62</v>
      </c>
      <c r="L47" s="92">
        <f t="shared" si="5"/>
        <v>16756.62</v>
      </c>
      <c r="M47" s="92">
        <f t="shared" si="6"/>
        <v>246.43</v>
      </c>
      <c r="N47" s="41">
        <f t="shared" si="0"/>
        <v>-24284.956521739132</v>
      </c>
      <c r="O47" s="41">
        <f t="shared" si="10"/>
      </c>
      <c r="P47" s="41">
        <f t="shared" si="11"/>
      </c>
    </row>
    <row r="48" spans="1:16" ht="15.75">
      <c r="A48" s="150"/>
      <c r="B48" s="150"/>
      <c r="C48" s="55" t="s">
        <v>9</v>
      </c>
      <c r="D48" s="29">
        <f aca="true" t="shared" si="12" ref="D48:I48">SUM(D38:D47)</f>
        <v>275091.68999999994</v>
      </c>
      <c r="E48" s="112">
        <f t="shared" si="12"/>
        <v>790295.2200000001</v>
      </c>
      <c r="F48" s="112">
        <f t="shared" si="12"/>
        <v>352523.89999999997</v>
      </c>
      <c r="G48" s="112">
        <f t="shared" si="12"/>
        <v>78824.59999999999</v>
      </c>
      <c r="H48" s="112">
        <f t="shared" si="12"/>
        <v>426145.35</v>
      </c>
      <c r="I48" s="112">
        <f t="shared" si="12"/>
        <v>9013.89</v>
      </c>
      <c r="J48" s="29">
        <f t="shared" si="3"/>
        <v>151053.66000000003</v>
      </c>
      <c r="K48" s="29">
        <f t="shared" si="4"/>
        <v>73621.45000000001</v>
      </c>
      <c r="L48" s="29">
        <f t="shared" si="5"/>
        <v>-364149.8700000001</v>
      </c>
      <c r="M48" s="29">
        <f t="shared" si="6"/>
        <v>-69810.70999999999</v>
      </c>
      <c r="N48" s="41">
        <f aca="true" t="shared" si="13" ref="N48:N86">_xlfn.IFERROR(H48/D48,"")</f>
        <v>1.5491029554545979</v>
      </c>
      <c r="O48" s="41">
        <f t="shared" si="10"/>
        <v>1.2088410175877438</v>
      </c>
      <c r="P48" s="41">
        <f t="shared" si="11"/>
        <v>0.5392229880879198</v>
      </c>
    </row>
    <row r="49" spans="1:16" ht="15.75">
      <c r="A49" s="150" t="s">
        <v>47</v>
      </c>
      <c r="B49" s="135" t="s">
        <v>48</v>
      </c>
      <c r="C49" s="7" t="s">
        <v>28</v>
      </c>
      <c r="D49" s="36">
        <v>8187.13</v>
      </c>
      <c r="E49" s="88">
        <v>2731.1</v>
      </c>
      <c r="F49" s="88">
        <v>2731.1</v>
      </c>
      <c r="G49" s="88">
        <v>0</v>
      </c>
      <c r="H49" s="5">
        <v>2731.14</v>
      </c>
      <c r="I49" s="5">
        <v>0</v>
      </c>
      <c r="J49" s="8">
        <f t="shared" si="3"/>
        <v>-5455.99</v>
      </c>
      <c r="K49" s="8">
        <f t="shared" si="4"/>
        <v>0.03999999999996362</v>
      </c>
      <c r="L49" s="8">
        <f t="shared" si="5"/>
        <v>0.03999999999996362</v>
      </c>
      <c r="M49" s="8">
        <f t="shared" si="6"/>
        <v>0</v>
      </c>
      <c r="N49" s="41">
        <f t="shared" si="13"/>
        <v>0.3335894263313273</v>
      </c>
      <c r="O49" s="41">
        <f t="shared" si="10"/>
        <v>1.0000146461132877</v>
      </c>
      <c r="P49" s="41">
        <f t="shared" si="11"/>
        <v>1.0000146461132877</v>
      </c>
    </row>
    <row r="50" spans="1:16" ht="15.75">
      <c r="A50" s="150"/>
      <c r="B50" s="135"/>
      <c r="C50" s="56" t="s">
        <v>9</v>
      </c>
      <c r="D50" s="29">
        <f>D49</f>
        <v>8187.13</v>
      </c>
      <c r="E50" s="117">
        <f>SUM(E49:E49)</f>
        <v>2731.1</v>
      </c>
      <c r="F50" s="117">
        <f>SUM(F49:F49)</f>
        <v>2731.1</v>
      </c>
      <c r="G50" s="117">
        <f>SUM(G49:G49)</f>
        <v>0</v>
      </c>
      <c r="H50" s="117">
        <f>SUM(H49:H49)</f>
        <v>2731.14</v>
      </c>
      <c r="I50" s="117">
        <f>SUM(I49:I49)</f>
        <v>0</v>
      </c>
      <c r="J50" s="57">
        <f t="shared" si="3"/>
        <v>-5455.99</v>
      </c>
      <c r="K50" s="57">
        <f t="shared" si="4"/>
        <v>0.03999999999996362</v>
      </c>
      <c r="L50" s="57">
        <f t="shared" si="5"/>
        <v>0.03999999999996362</v>
      </c>
      <c r="M50" s="57">
        <f t="shared" si="6"/>
        <v>0</v>
      </c>
      <c r="N50" s="41">
        <f t="shared" si="13"/>
        <v>0.3335894263313273</v>
      </c>
      <c r="O50" s="41">
        <f t="shared" si="10"/>
        <v>1.0000146461132877</v>
      </c>
      <c r="P50" s="41">
        <f t="shared" si="11"/>
        <v>1.0000146461132877</v>
      </c>
    </row>
    <row r="51" spans="1:17" s="39" customFormat="1" ht="15.75" hidden="1">
      <c r="A51" s="142" t="s">
        <v>50</v>
      </c>
      <c r="B51" s="145" t="s">
        <v>79</v>
      </c>
      <c r="C51" s="81" t="s">
        <v>28</v>
      </c>
      <c r="D51" s="36"/>
      <c r="E51" s="118"/>
      <c r="F51" s="118"/>
      <c r="G51" s="118"/>
      <c r="H51" s="5">
        <v>0</v>
      </c>
      <c r="I51" s="5">
        <v>0</v>
      </c>
      <c r="J51" s="73">
        <f t="shared" si="3"/>
        <v>0</v>
      </c>
      <c r="K51" s="73">
        <f t="shared" si="4"/>
        <v>0</v>
      </c>
      <c r="L51" s="73">
        <f t="shared" si="5"/>
        <v>0</v>
      </c>
      <c r="M51" s="73">
        <f t="shared" si="6"/>
        <v>0</v>
      </c>
      <c r="N51" s="74">
        <f t="shared" si="13"/>
      </c>
      <c r="O51" s="74">
        <f t="shared" si="10"/>
      </c>
      <c r="P51" s="74">
        <f t="shared" si="11"/>
      </c>
      <c r="Q51" s="60"/>
    </row>
    <row r="52" spans="1:16" ht="15.75">
      <c r="A52" s="142"/>
      <c r="B52" s="145"/>
      <c r="C52" s="16" t="s">
        <v>89</v>
      </c>
      <c r="D52" s="36">
        <v>167055.4</v>
      </c>
      <c r="E52" s="88">
        <v>636054.36</v>
      </c>
      <c r="F52" s="88">
        <f>263737.26+20238.8+12878.8</f>
        <v>296854.86</v>
      </c>
      <c r="G52" s="88">
        <f>37829.2+12878.8</f>
        <v>50708</v>
      </c>
      <c r="H52" s="5">
        <v>244537.44</v>
      </c>
      <c r="I52" s="5">
        <v>3568.8599999999997</v>
      </c>
      <c r="J52" s="8">
        <f t="shared" si="3"/>
        <v>77482.04000000001</v>
      </c>
      <c r="K52" s="8">
        <f t="shared" si="4"/>
        <v>-52317.419999999984</v>
      </c>
      <c r="L52" s="8">
        <f t="shared" si="5"/>
        <v>-391516.92</v>
      </c>
      <c r="M52" s="8">
        <f t="shared" si="6"/>
        <v>-47139.14</v>
      </c>
      <c r="N52" s="41">
        <f t="shared" si="13"/>
        <v>1.4638104485098955</v>
      </c>
      <c r="O52" s="41">
        <f t="shared" si="10"/>
        <v>0.8237609449951401</v>
      </c>
      <c r="P52" s="41">
        <f t="shared" si="11"/>
        <v>0.38445996974220886</v>
      </c>
    </row>
    <row r="53" spans="1:16" ht="15.75">
      <c r="A53" s="157"/>
      <c r="B53" s="158"/>
      <c r="C53" s="16" t="s">
        <v>83</v>
      </c>
      <c r="D53" s="36">
        <v>111032.27</v>
      </c>
      <c r="E53" s="89">
        <v>415818.1</v>
      </c>
      <c r="F53" s="89">
        <f>175459.8+7178.6+6045.7</f>
        <v>188684.1</v>
      </c>
      <c r="G53" s="89">
        <f>27909.2+6045.7</f>
        <v>33954.9</v>
      </c>
      <c r="H53" s="5">
        <v>146034.03999999998</v>
      </c>
      <c r="I53" s="5">
        <v>2622.17</v>
      </c>
      <c r="J53" s="17">
        <f t="shared" si="3"/>
        <v>35001.769999999975</v>
      </c>
      <c r="K53" s="17">
        <f t="shared" si="4"/>
        <v>-42650.06000000003</v>
      </c>
      <c r="L53" s="17">
        <f t="shared" si="5"/>
        <v>-269784.06</v>
      </c>
      <c r="M53" s="17">
        <f t="shared" si="6"/>
        <v>-31332.730000000003</v>
      </c>
      <c r="N53" s="41">
        <f t="shared" si="13"/>
        <v>1.3152396145733125</v>
      </c>
      <c r="O53" s="41">
        <f t="shared" si="10"/>
        <v>0.7739604979963864</v>
      </c>
      <c r="P53" s="41">
        <f t="shared" si="11"/>
        <v>0.3511969296189848</v>
      </c>
    </row>
    <row r="54" spans="1:16" ht="15.75">
      <c r="A54" s="142"/>
      <c r="B54" s="145"/>
      <c r="C54" s="16" t="s">
        <v>84</v>
      </c>
      <c r="D54" s="36">
        <v>1475226.92</v>
      </c>
      <c r="E54" s="110">
        <v>3830717.65</v>
      </c>
      <c r="F54" s="110">
        <f>1704761.05+132911.8+6793.1</f>
        <v>1844465.9500000002</v>
      </c>
      <c r="G54" s="110">
        <f>286562.8+6793.1</f>
        <v>293355.89999999997</v>
      </c>
      <c r="H54" s="5">
        <v>1602322.41</v>
      </c>
      <c r="I54" s="5">
        <v>28188.42</v>
      </c>
      <c r="J54" s="8">
        <f t="shared" si="3"/>
        <v>127095.48999999999</v>
      </c>
      <c r="K54" s="8">
        <f t="shared" si="4"/>
        <v>-242143.54000000027</v>
      </c>
      <c r="L54" s="8">
        <f t="shared" si="5"/>
        <v>-2228395.24</v>
      </c>
      <c r="M54" s="8">
        <f t="shared" si="6"/>
        <v>-265167.48</v>
      </c>
      <c r="N54" s="41">
        <f t="shared" si="13"/>
        <v>1.0861531797426798</v>
      </c>
      <c r="O54" s="41">
        <f t="shared" si="10"/>
        <v>0.868718888521634</v>
      </c>
      <c r="P54" s="41">
        <f t="shared" si="11"/>
        <v>0.41828256645331197</v>
      </c>
    </row>
    <row r="55" spans="1:16" ht="15.75">
      <c r="A55" s="157"/>
      <c r="B55" s="158"/>
      <c r="C55" s="16" t="s">
        <v>85</v>
      </c>
      <c r="D55" s="36">
        <v>1141.74</v>
      </c>
      <c r="E55" s="88">
        <v>0</v>
      </c>
      <c r="F55" s="88">
        <v>0</v>
      </c>
      <c r="G55" s="88">
        <v>0</v>
      </c>
      <c r="H55" s="5">
        <v>590.82</v>
      </c>
      <c r="I55" s="5">
        <v>79.6</v>
      </c>
      <c r="J55" s="8">
        <f t="shared" si="3"/>
        <v>-550.92</v>
      </c>
      <c r="K55" s="8">
        <f t="shared" si="4"/>
        <v>590.82</v>
      </c>
      <c r="L55" s="8">
        <f t="shared" si="5"/>
        <v>590.82</v>
      </c>
      <c r="M55" s="8">
        <f t="shared" si="6"/>
        <v>79.6</v>
      </c>
      <c r="N55" s="41">
        <f t="shared" si="13"/>
        <v>0.5174733301802512</v>
      </c>
      <c r="O55" s="41">
        <f t="shared" si="10"/>
      </c>
      <c r="P55" s="41">
        <f t="shared" si="11"/>
      </c>
    </row>
    <row r="56" spans="1:16" ht="15.75">
      <c r="A56" s="142"/>
      <c r="B56" s="145"/>
      <c r="C56" s="58" t="s">
        <v>9</v>
      </c>
      <c r="D56" s="59">
        <f>SUM(D51:D55)</f>
        <v>1754456.3299999998</v>
      </c>
      <c r="E56" s="119">
        <f>SUM(E51:E55)</f>
        <v>4882590.109999999</v>
      </c>
      <c r="F56" s="119">
        <f>SUM(F51:F55)</f>
        <v>2330004.91</v>
      </c>
      <c r="G56" s="119">
        <f>SUM(G51:G55)</f>
        <v>378018.79999999993</v>
      </c>
      <c r="H56" s="119">
        <f>SUM(H51:H55)</f>
        <v>1993484.71</v>
      </c>
      <c r="I56" s="119">
        <f>SUM(I51:I55)</f>
        <v>34459.049999999996</v>
      </c>
      <c r="J56" s="59">
        <f t="shared" si="3"/>
        <v>239028.38000000012</v>
      </c>
      <c r="K56" s="59">
        <f t="shared" si="4"/>
        <v>-336520.2000000002</v>
      </c>
      <c r="L56" s="59">
        <f t="shared" si="5"/>
        <v>-2889105.3999999994</v>
      </c>
      <c r="M56" s="59">
        <f t="shared" si="6"/>
        <v>-343559.74999999994</v>
      </c>
      <c r="N56" s="41">
        <f t="shared" si="13"/>
        <v>1.1362407122438893</v>
      </c>
      <c r="O56" s="41">
        <f t="shared" si="10"/>
        <v>0.8555710339683361</v>
      </c>
      <c r="P56" s="41">
        <f t="shared" si="11"/>
        <v>0.408284264107519</v>
      </c>
    </row>
    <row r="57" spans="1:16" ht="15.75">
      <c r="A57" s="159">
        <v>991</v>
      </c>
      <c r="B57" s="159" t="s">
        <v>52</v>
      </c>
      <c r="C57" s="9" t="s">
        <v>53</v>
      </c>
      <c r="D57" s="37">
        <v>22537.12</v>
      </c>
      <c r="E57" s="110">
        <v>54298.2</v>
      </c>
      <c r="F57" s="110">
        <v>25700</v>
      </c>
      <c r="G57" s="110">
        <v>4500</v>
      </c>
      <c r="H57" s="5">
        <v>22538.629999999997</v>
      </c>
      <c r="I57" s="5">
        <v>453.38</v>
      </c>
      <c r="J57" s="5">
        <f t="shared" si="3"/>
        <v>1.5099999999983993</v>
      </c>
      <c r="K57" s="5">
        <f t="shared" si="4"/>
        <v>-3161.3700000000026</v>
      </c>
      <c r="L57" s="5">
        <f t="shared" si="5"/>
        <v>-31759.57</v>
      </c>
      <c r="M57" s="5">
        <f t="shared" si="6"/>
        <v>-4046.62</v>
      </c>
      <c r="N57" s="41">
        <f t="shared" si="13"/>
        <v>1.0000670005750512</v>
      </c>
      <c r="O57" s="41">
        <f t="shared" si="10"/>
        <v>0.876989494163424</v>
      </c>
      <c r="P57" s="41">
        <f t="shared" si="11"/>
        <v>0.41508981881535667</v>
      </c>
    </row>
    <row r="58" spans="1:16" ht="15.75">
      <c r="A58" s="159"/>
      <c r="B58" s="159"/>
      <c r="C58" s="7" t="s">
        <v>54</v>
      </c>
      <c r="D58" s="37">
        <v>1849</v>
      </c>
      <c r="E58" s="110">
        <v>0</v>
      </c>
      <c r="F58" s="110">
        <v>0</v>
      </c>
      <c r="G58" s="110">
        <v>0</v>
      </c>
      <c r="H58" s="5">
        <v>3386.69</v>
      </c>
      <c r="I58" s="5">
        <v>0</v>
      </c>
      <c r="J58" s="5">
        <f t="shared" si="3"/>
        <v>1537.69</v>
      </c>
      <c r="K58" s="5">
        <f t="shared" si="4"/>
        <v>3386.69</v>
      </c>
      <c r="L58" s="5">
        <f t="shared" si="5"/>
        <v>3386.69</v>
      </c>
      <c r="M58" s="5">
        <f t="shared" si="6"/>
        <v>0</v>
      </c>
      <c r="N58" s="44">
        <f t="shared" si="13"/>
        <v>1.8316333153055706</v>
      </c>
      <c r="O58" s="41">
        <f t="shared" si="10"/>
      </c>
      <c r="P58" s="41">
        <f t="shared" si="11"/>
      </c>
    </row>
    <row r="59" spans="1:16" ht="15.75" hidden="1">
      <c r="A59" s="159"/>
      <c r="B59" s="159"/>
      <c r="C59" s="93" t="s">
        <v>55</v>
      </c>
      <c r="D59" s="37">
        <v>0</v>
      </c>
      <c r="E59" s="88">
        <v>0</v>
      </c>
      <c r="F59" s="88">
        <v>0</v>
      </c>
      <c r="G59" s="88">
        <v>0</v>
      </c>
      <c r="H59" s="5">
        <v>0</v>
      </c>
      <c r="I59" s="5">
        <v>0</v>
      </c>
      <c r="J59" s="3">
        <f t="shared" si="3"/>
        <v>0</v>
      </c>
      <c r="K59" s="3">
        <f t="shared" si="4"/>
        <v>0</v>
      </c>
      <c r="L59" s="3">
        <f t="shared" si="5"/>
        <v>0</v>
      </c>
      <c r="M59" s="3">
        <f t="shared" si="6"/>
        <v>0</v>
      </c>
      <c r="N59" s="44">
        <f t="shared" si="13"/>
      </c>
      <c r="O59" s="41">
        <f t="shared" si="10"/>
      </c>
      <c r="P59" s="41">
        <f t="shared" si="11"/>
      </c>
    </row>
    <row r="60" spans="1:16" ht="15.75">
      <c r="A60" s="159"/>
      <c r="B60" s="159"/>
      <c r="C60" s="55" t="s">
        <v>9</v>
      </c>
      <c r="D60" s="29">
        <f>SUM(D57:D59)</f>
        <v>24386.12</v>
      </c>
      <c r="E60" s="112">
        <f>SUM(E57:E59)</f>
        <v>54298.2</v>
      </c>
      <c r="F60" s="112">
        <f>SUM(F57:F59)</f>
        <v>25700</v>
      </c>
      <c r="G60" s="112">
        <f>SUM(G57:G59)</f>
        <v>4500</v>
      </c>
      <c r="H60" s="106">
        <v>25925.319999999996</v>
      </c>
      <c r="I60" s="106">
        <v>453.38</v>
      </c>
      <c r="J60" s="29">
        <f t="shared" si="3"/>
        <v>1539.199999999997</v>
      </c>
      <c r="K60" s="29">
        <f t="shared" si="4"/>
        <v>225.31999999999607</v>
      </c>
      <c r="L60" s="29">
        <f t="shared" si="5"/>
        <v>-28372.88</v>
      </c>
      <c r="M60" s="29">
        <f t="shared" si="6"/>
        <v>-4046.62</v>
      </c>
      <c r="N60" s="54">
        <f t="shared" si="13"/>
        <v>1.0631178719697925</v>
      </c>
      <c r="O60" s="41">
        <f t="shared" si="10"/>
        <v>1.008767315175097</v>
      </c>
      <c r="P60" s="54">
        <f t="shared" si="11"/>
        <v>0.4774618679808907</v>
      </c>
    </row>
    <row r="61" spans="1:16" ht="15.75">
      <c r="A61" s="150" t="s">
        <v>56</v>
      </c>
      <c r="B61" s="135" t="s">
        <v>57</v>
      </c>
      <c r="C61" s="7" t="s">
        <v>58</v>
      </c>
      <c r="D61" s="37">
        <v>2554.7799999999997</v>
      </c>
      <c r="E61" s="110">
        <v>7767.5</v>
      </c>
      <c r="F61" s="110">
        <v>3895</v>
      </c>
      <c r="G61" s="110">
        <v>231.5</v>
      </c>
      <c r="H61" s="5">
        <v>6567.7300000000005</v>
      </c>
      <c r="I61" s="5">
        <v>0.01</v>
      </c>
      <c r="J61" s="5">
        <f t="shared" si="3"/>
        <v>4012.9500000000007</v>
      </c>
      <c r="K61" s="5">
        <f t="shared" si="4"/>
        <v>2672.7300000000005</v>
      </c>
      <c r="L61" s="5">
        <f t="shared" si="5"/>
        <v>-1199.7699999999995</v>
      </c>
      <c r="M61" s="5">
        <f t="shared" si="6"/>
        <v>-231.49</v>
      </c>
      <c r="N61" s="41">
        <f t="shared" si="13"/>
        <v>2.570761474569239</v>
      </c>
      <c r="O61" s="41">
        <f t="shared" si="10"/>
        <v>1.6861951219512197</v>
      </c>
      <c r="P61" s="41">
        <f t="shared" si="11"/>
        <v>0.845539748953975</v>
      </c>
    </row>
    <row r="62" spans="1:16" ht="15.75">
      <c r="A62" s="150"/>
      <c r="B62" s="135"/>
      <c r="C62" s="55" t="s">
        <v>9</v>
      </c>
      <c r="D62" s="29">
        <f aca="true" t="shared" si="14" ref="D62:J62">D61</f>
        <v>2554.7799999999997</v>
      </c>
      <c r="E62" s="112">
        <f t="shared" si="14"/>
        <v>7767.5</v>
      </c>
      <c r="F62" s="112">
        <f t="shared" si="14"/>
        <v>3895</v>
      </c>
      <c r="G62" s="112">
        <f t="shared" si="14"/>
        <v>231.5</v>
      </c>
      <c r="H62" s="112">
        <f t="shared" si="14"/>
        <v>6567.7300000000005</v>
      </c>
      <c r="I62" s="112">
        <f t="shared" si="14"/>
        <v>0.01</v>
      </c>
      <c r="J62" s="61">
        <f t="shared" si="14"/>
        <v>4012.9500000000007</v>
      </c>
      <c r="K62" s="61">
        <f t="shared" si="4"/>
        <v>2672.7300000000005</v>
      </c>
      <c r="L62" s="61">
        <f t="shared" si="5"/>
        <v>-1199.7699999999995</v>
      </c>
      <c r="M62" s="61">
        <f t="shared" si="6"/>
        <v>-231.49</v>
      </c>
      <c r="N62" s="54">
        <f t="shared" si="13"/>
        <v>2.570761474569239</v>
      </c>
      <c r="O62" s="54">
        <f t="shared" si="10"/>
        <v>1.6861951219512197</v>
      </c>
      <c r="P62" s="54">
        <f t="shared" si="11"/>
        <v>0.845539748953975</v>
      </c>
    </row>
    <row r="63" spans="1:16" ht="15.75" hidden="1">
      <c r="A63" s="173" t="s">
        <v>59</v>
      </c>
      <c r="B63" s="171" t="s">
        <v>60</v>
      </c>
      <c r="C63" s="82" t="s">
        <v>55</v>
      </c>
      <c r="D63" s="36"/>
      <c r="E63" s="110"/>
      <c r="F63" s="110"/>
      <c r="G63" s="110"/>
      <c r="H63" s="5">
        <v>0</v>
      </c>
      <c r="I63" s="5">
        <v>0</v>
      </c>
      <c r="J63" s="5">
        <f aca="true" t="shared" si="15" ref="J63:J87">H63-D63</f>
        <v>0</v>
      </c>
      <c r="K63" s="5">
        <f t="shared" si="4"/>
        <v>0</v>
      </c>
      <c r="L63" s="5">
        <f t="shared" si="5"/>
        <v>0</v>
      </c>
      <c r="M63" s="5">
        <f t="shared" si="6"/>
        <v>0</v>
      </c>
      <c r="N63" s="44">
        <f t="shared" si="13"/>
      </c>
      <c r="O63" s="44">
        <f t="shared" si="10"/>
      </c>
      <c r="P63" s="44">
        <f t="shared" si="11"/>
      </c>
    </row>
    <row r="64" spans="1:16" ht="15.75" hidden="1">
      <c r="A64" s="174"/>
      <c r="B64" s="172"/>
      <c r="C64" s="83" t="s">
        <v>9</v>
      </c>
      <c r="D64" s="29">
        <v>0</v>
      </c>
      <c r="E64" s="119">
        <f>E63</f>
        <v>0</v>
      </c>
      <c r="F64" s="119">
        <f>G64</f>
        <v>0</v>
      </c>
      <c r="G64" s="119">
        <f>G63</f>
        <v>0</v>
      </c>
      <c r="H64" s="101">
        <v>0</v>
      </c>
      <c r="I64" s="101">
        <v>0</v>
      </c>
      <c r="J64" s="75">
        <f t="shared" si="15"/>
        <v>0</v>
      </c>
      <c r="K64" s="75">
        <f t="shared" si="4"/>
        <v>0</v>
      </c>
      <c r="L64" s="75">
        <f t="shared" si="5"/>
        <v>0</v>
      </c>
      <c r="M64" s="75">
        <f t="shared" si="6"/>
        <v>0</v>
      </c>
      <c r="N64" s="44">
        <f t="shared" si="13"/>
      </c>
      <c r="O64" s="44">
        <f t="shared" si="10"/>
      </c>
      <c r="P64" s="44">
        <f t="shared" si="11"/>
      </c>
    </row>
    <row r="65" spans="1:16" ht="15.75">
      <c r="A65" s="135"/>
      <c r="B65" s="135" t="s">
        <v>61</v>
      </c>
      <c r="C65" s="10" t="s">
        <v>62</v>
      </c>
      <c r="D65" s="37">
        <v>472.57</v>
      </c>
      <c r="E65" s="110">
        <v>41.2</v>
      </c>
      <c r="F65" s="110">
        <v>41.2</v>
      </c>
      <c r="G65" s="110">
        <v>0</v>
      </c>
      <c r="H65" s="99">
        <v>83.07</v>
      </c>
      <c r="I65" s="99">
        <v>0</v>
      </c>
      <c r="J65" s="5">
        <f t="shared" si="15"/>
        <v>-389.5</v>
      </c>
      <c r="K65" s="5">
        <f t="shared" si="4"/>
        <v>41.86999999999999</v>
      </c>
      <c r="L65" s="5">
        <f t="shared" si="5"/>
        <v>41.86999999999999</v>
      </c>
      <c r="M65" s="5">
        <f t="shared" si="6"/>
        <v>0</v>
      </c>
      <c r="N65" s="41">
        <f t="shared" si="13"/>
        <v>0.17578348181221828</v>
      </c>
      <c r="O65" s="41">
        <f t="shared" si="10"/>
        <v>2.0162621359223296</v>
      </c>
      <c r="P65" s="41">
        <f t="shared" si="11"/>
        <v>2.0162621359223296</v>
      </c>
    </row>
    <row r="66" spans="1:16" ht="15.75">
      <c r="A66" s="154"/>
      <c r="B66" s="154"/>
      <c r="C66" s="7" t="s">
        <v>100</v>
      </c>
      <c r="D66" s="18">
        <v>24.46</v>
      </c>
      <c r="E66" s="120">
        <v>47.1</v>
      </c>
      <c r="F66" s="120">
        <v>47.1</v>
      </c>
      <c r="G66" s="120">
        <v>0</v>
      </c>
      <c r="H66" s="5">
        <v>272.04</v>
      </c>
      <c r="I66" s="5">
        <v>0</v>
      </c>
      <c r="J66" s="18">
        <f t="shared" si="15"/>
        <v>247.58</v>
      </c>
      <c r="K66" s="18">
        <f t="shared" si="4"/>
        <v>224.94000000000003</v>
      </c>
      <c r="L66" s="18">
        <f t="shared" si="5"/>
        <v>224.94000000000003</v>
      </c>
      <c r="M66" s="18">
        <f t="shared" si="6"/>
        <v>0</v>
      </c>
      <c r="N66" s="41">
        <f t="shared" si="13"/>
        <v>11.121831561733442</v>
      </c>
      <c r="O66" s="41">
        <f t="shared" si="10"/>
        <v>5.775796178343949</v>
      </c>
      <c r="P66" s="41">
        <f t="shared" si="11"/>
        <v>5.775796178343949</v>
      </c>
    </row>
    <row r="67" spans="1:16" ht="15.75">
      <c r="A67" s="135"/>
      <c r="B67" s="135"/>
      <c r="C67" s="7" t="s">
        <v>28</v>
      </c>
      <c r="D67" s="37">
        <v>9531</v>
      </c>
      <c r="E67" s="110">
        <v>7387.5</v>
      </c>
      <c r="F67" s="110">
        <v>7387.5</v>
      </c>
      <c r="G67" s="110">
        <v>0</v>
      </c>
      <c r="H67" s="5">
        <v>7387.5</v>
      </c>
      <c r="I67" s="5">
        <v>0</v>
      </c>
      <c r="J67" s="5">
        <f t="shared" si="15"/>
        <v>-2143.5</v>
      </c>
      <c r="K67" s="5">
        <f t="shared" si="4"/>
        <v>0</v>
      </c>
      <c r="L67" s="5">
        <f t="shared" si="5"/>
        <v>0</v>
      </c>
      <c r="M67" s="5">
        <f t="shared" si="6"/>
        <v>0</v>
      </c>
      <c r="N67" s="41">
        <f t="shared" si="13"/>
        <v>0.7751022977651872</v>
      </c>
      <c r="O67" s="41">
        <f t="shared" si="10"/>
        <v>1</v>
      </c>
      <c r="P67" s="41">
        <f t="shared" si="11"/>
        <v>1</v>
      </c>
    </row>
    <row r="68" spans="1:16" ht="31.5">
      <c r="A68" s="135"/>
      <c r="B68" s="135"/>
      <c r="C68" s="7" t="s">
        <v>49</v>
      </c>
      <c r="D68" s="37">
        <v>12481.52000000001</v>
      </c>
      <c r="E68" s="88">
        <v>680.5</v>
      </c>
      <c r="F68" s="88">
        <v>340</v>
      </c>
      <c r="G68" s="88">
        <v>70</v>
      </c>
      <c r="H68" s="5">
        <v>27083.940000000734</v>
      </c>
      <c r="I68" s="5">
        <v>186.3100000000005</v>
      </c>
      <c r="J68" s="3">
        <f t="shared" si="15"/>
        <v>14602.420000000724</v>
      </c>
      <c r="K68" s="3">
        <f t="shared" si="4"/>
        <v>26743.940000000734</v>
      </c>
      <c r="L68" s="3">
        <f t="shared" si="5"/>
        <v>26403.440000000734</v>
      </c>
      <c r="M68" s="3">
        <f t="shared" si="6"/>
        <v>116.31000000000051</v>
      </c>
      <c r="N68" s="41">
        <f t="shared" si="13"/>
        <v>2.169923214480345</v>
      </c>
      <c r="O68" s="41">
        <f t="shared" si="10"/>
        <v>79.6586470588257</v>
      </c>
      <c r="P68" s="41">
        <f t="shared" si="11"/>
        <v>39.800058780309676</v>
      </c>
    </row>
    <row r="69" spans="1:16" ht="15.75">
      <c r="A69" s="135"/>
      <c r="B69" s="135"/>
      <c r="C69" s="7" t="s">
        <v>51</v>
      </c>
      <c r="D69" s="36">
        <v>41311.73000000001</v>
      </c>
      <c r="E69" s="88">
        <f>86939.9+8662.9-14007.9</f>
        <v>81594.9</v>
      </c>
      <c r="F69" s="88">
        <v>37168.3</v>
      </c>
      <c r="G69" s="88">
        <v>7284.5</v>
      </c>
      <c r="H69" s="5">
        <v>41432.439999999944</v>
      </c>
      <c r="I69" s="5">
        <v>2907.58</v>
      </c>
      <c r="J69" s="3">
        <f t="shared" si="15"/>
        <v>120.70999999993364</v>
      </c>
      <c r="K69" s="3">
        <f t="shared" si="4"/>
        <v>4264.139999999941</v>
      </c>
      <c r="L69" s="3">
        <f t="shared" si="5"/>
        <v>-40162.46000000005</v>
      </c>
      <c r="M69" s="3">
        <f t="shared" si="6"/>
        <v>-4376.92</v>
      </c>
      <c r="N69" s="41">
        <f t="shared" si="13"/>
        <v>1.0029219304057209</v>
      </c>
      <c r="O69" s="41">
        <f t="shared" si="10"/>
        <v>1.1147251824807682</v>
      </c>
      <c r="P69" s="41">
        <f t="shared" si="11"/>
        <v>0.5077822265852394</v>
      </c>
    </row>
    <row r="70" spans="1:16" ht="15.75">
      <c r="A70" s="135"/>
      <c r="B70" s="135"/>
      <c r="C70" s="7" t="s">
        <v>63</v>
      </c>
      <c r="D70" s="36">
        <v>1480.31</v>
      </c>
      <c r="E70" s="88">
        <v>0</v>
      </c>
      <c r="F70" s="88">
        <v>0</v>
      </c>
      <c r="G70" s="88">
        <v>0</v>
      </c>
      <c r="H70" s="5">
        <v>-6042.35</v>
      </c>
      <c r="I70" s="5">
        <v>-4.8</v>
      </c>
      <c r="J70" s="3">
        <f t="shared" si="15"/>
        <v>-7522.66</v>
      </c>
      <c r="K70" s="3">
        <f t="shared" si="4"/>
        <v>-6042.35</v>
      </c>
      <c r="L70" s="3">
        <f t="shared" si="5"/>
        <v>-6042.35</v>
      </c>
      <c r="M70" s="3">
        <f t="shared" si="6"/>
        <v>-4.8</v>
      </c>
      <c r="N70" s="41">
        <f t="shared" si="13"/>
        <v>-4.081813944376516</v>
      </c>
      <c r="O70" s="41">
        <f aca="true" t="shared" si="16" ref="O70:O87">_xlfn.IFERROR(H70/F70,"")</f>
      </c>
      <c r="P70" s="41">
        <f aca="true" t="shared" si="17" ref="P70:P87">_xlfn.IFERROR(H70/E70,"")</f>
      </c>
    </row>
    <row r="71" spans="1:16" ht="15.75">
      <c r="A71" s="135"/>
      <c r="B71" s="135"/>
      <c r="C71" s="7" t="s">
        <v>40</v>
      </c>
      <c r="D71" s="36">
        <f>8898.09+55.33</f>
        <v>8953.42</v>
      </c>
      <c r="E71" s="88">
        <v>16333.1</v>
      </c>
      <c r="F71" s="88">
        <v>3950</v>
      </c>
      <c r="G71" s="88">
        <v>1050</v>
      </c>
      <c r="H71" s="5">
        <v>21573.739999999998</v>
      </c>
      <c r="I71" s="5">
        <v>6991.910000000001</v>
      </c>
      <c r="J71" s="3">
        <f t="shared" si="15"/>
        <v>12620.319999999998</v>
      </c>
      <c r="K71" s="3">
        <f aca="true" t="shared" si="18" ref="K71:K87">H71-F71</f>
        <v>17623.739999999998</v>
      </c>
      <c r="L71" s="3">
        <f aca="true" t="shared" si="19" ref="L71:L87">H71-E71</f>
        <v>5240.639999999998</v>
      </c>
      <c r="M71" s="3">
        <f aca="true" t="shared" si="20" ref="M71:M86">I71-G71</f>
        <v>5941.910000000001</v>
      </c>
      <c r="N71" s="41">
        <f t="shared" si="13"/>
        <v>2.409552997625488</v>
      </c>
      <c r="O71" s="41">
        <f t="shared" si="16"/>
        <v>5.461706329113923</v>
      </c>
      <c r="P71" s="41">
        <f t="shared" si="17"/>
        <v>1.3208600939197088</v>
      </c>
    </row>
    <row r="72" spans="1:16" ht="15.75">
      <c r="A72" s="177"/>
      <c r="B72" s="177"/>
      <c r="C72" s="7" t="s">
        <v>102</v>
      </c>
      <c r="D72" s="36">
        <v>2146.93</v>
      </c>
      <c r="E72" s="88">
        <v>0</v>
      </c>
      <c r="F72" s="88">
        <f>G72</f>
        <v>0</v>
      </c>
      <c r="G72" s="88">
        <v>0</v>
      </c>
      <c r="H72" s="5">
        <v>795.93</v>
      </c>
      <c r="I72" s="5">
        <v>0</v>
      </c>
      <c r="J72" s="3">
        <f t="shared" si="15"/>
        <v>-1351</v>
      </c>
      <c r="K72" s="3">
        <f t="shared" si="18"/>
        <v>795.93</v>
      </c>
      <c r="L72" s="3">
        <f t="shared" si="19"/>
        <v>795.93</v>
      </c>
      <c r="M72" s="3">
        <f t="shared" si="20"/>
        <v>0</v>
      </c>
      <c r="N72" s="41">
        <f t="shared" si="13"/>
        <v>0.3707293670496942</v>
      </c>
      <c r="O72" s="41">
        <f t="shared" si="16"/>
      </c>
      <c r="P72" s="41">
        <f t="shared" si="17"/>
      </c>
    </row>
    <row r="73" spans="1:16" ht="15.75">
      <c r="A73" s="135"/>
      <c r="B73" s="135"/>
      <c r="C73" s="55" t="s">
        <v>64</v>
      </c>
      <c r="D73" s="29">
        <f>SUM(D65:D72)</f>
        <v>76401.94000000002</v>
      </c>
      <c r="E73" s="112">
        <f>SUM(E65:E72)</f>
        <v>106084.3</v>
      </c>
      <c r="F73" s="112">
        <f>SUM(F65:F72)</f>
        <v>48934.100000000006</v>
      </c>
      <c r="G73" s="112">
        <f>SUM(G65:G72)</f>
        <v>8404.5</v>
      </c>
      <c r="H73" s="112">
        <f>SUM(H65:H72)</f>
        <v>92586.31000000067</v>
      </c>
      <c r="I73" s="112">
        <f>SUM(I65:I72)</f>
        <v>10081</v>
      </c>
      <c r="J73" s="61">
        <f t="shared" si="15"/>
        <v>16184.37000000065</v>
      </c>
      <c r="K73" s="61">
        <f t="shared" si="18"/>
        <v>43652.21000000066</v>
      </c>
      <c r="L73" s="61">
        <f t="shared" si="19"/>
        <v>-13497.989999999336</v>
      </c>
      <c r="M73" s="61">
        <f t="shared" si="20"/>
        <v>1676.5</v>
      </c>
      <c r="N73" s="54">
        <f t="shared" si="13"/>
        <v>1.2118319246867377</v>
      </c>
      <c r="O73" s="54">
        <f t="shared" si="16"/>
        <v>1.8920611598047303</v>
      </c>
      <c r="P73" s="54">
        <f t="shared" si="17"/>
        <v>0.8727616621875307</v>
      </c>
    </row>
    <row r="74" spans="1:19" ht="25.5" customHeight="1">
      <c r="A74" s="178" t="s">
        <v>65</v>
      </c>
      <c r="B74" s="178"/>
      <c r="C74" s="178"/>
      <c r="D74" s="62">
        <f>D5+D22</f>
        <v>8143821.130000001</v>
      </c>
      <c r="E74" s="121">
        <f>E5+E22</f>
        <v>26570797.730000004</v>
      </c>
      <c r="F74" s="121">
        <f>F5+F22</f>
        <v>10946642.610000001</v>
      </c>
      <c r="G74" s="121">
        <f>G5+G22</f>
        <v>1693623.1</v>
      </c>
      <c r="H74" s="121">
        <f>H5+H22</f>
        <v>8820897.74</v>
      </c>
      <c r="I74" s="121">
        <f>I5+I22</f>
        <v>60650.63999999999</v>
      </c>
      <c r="J74" s="63">
        <f t="shared" si="15"/>
        <v>677076.6099999994</v>
      </c>
      <c r="K74" s="63">
        <f t="shared" si="18"/>
        <v>-2125744.870000001</v>
      </c>
      <c r="L74" s="63">
        <f t="shared" si="19"/>
        <v>-17749899.990000002</v>
      </c>
      <c r="M74" s="63">
        <f t="shared" si="20"/>
        <v>-1632972.4600000002</v>
      </c>
      <c r="N74" s="64">
        <f t="shared" si="13"/>
        <v>1.0831399166548246</v>
      </c>
      <c r="O74" s="64">
        <f t="shared" si="16"/>
        <v>0.8058085071619964</v>
      </c>
      <c r="P74" s="64">
        <f t="shared" si="17"/>
        <v>0.3319771513687255</v>
      </c>
      <c r="R74" s="67"/>
      <c r="S74" s="76"/>
    </row>
    <row r="75" spans="1:16" ht="15.75" hidden="1">
      <c r="A75" s="179" t="s">
        <v>81</v>
      </c>
      <c r="B75" s="180"/>
      <c r="C75" s="181"/>
      <c r="D75" s="62">
        <v>3770698.64</v>
      </c>
      <c r="E75" s="121">
        <f>E74-E54-E52-E53</f>
        <v>21688207.620000005</v>
      </c>
      <c r="F75" s="121">
        <f>G75</f>
        <v>1315604.3000000003</v>
      </c>
      <c r="G75" s="121">
        <f>G74-G54-G52-G53</f>
        <v>1315604.3000000003</v>
      </c>
      <c r="H75" s="105">
        <v>6826788.720000001</v>
      </c>
      <c r="I75" s="105">
        <v>25056.059999999998</v>
      </c>
      <c r="J75" s="62">
        <f t="shared" si="15"/>
        <v>3056090.0800000005</v>
      </c>
      <c r="K75" s="62">
        <f t="shared" si="18"/>
        <v>5511184.42</v>
      </c>
      <c r="L75" s="62">
        <f t="shared" si="19"/>
        <v>-14861418.900000004</v>
      </c>
      <c r="M75" s="62">
        <f t="shared" si="20"/>
        <v>-1290548.2400000002</v>
      </c>
      <c r="N75" s="77">
        <f t="shared" si="13"/>
        <v>1.8104837781467469</v>
      </c>
      <c r="O75" s="77">
        <f t="shared" si="16"/>
        <v>5.1890896981714025</v>
      </c>
      <c r="P75" s="77">
        <f t="shared" si="17"/>
        <v>0.31476961303637685</v>
      </c>
    </row>
    <row r="76" spans="1:16" ht="33" customHeight="1">
      <c r="A76" s="182"/>
      <c r="B76" s="162"/>
      <c r="C76" s="48" t="s">
        <v>66</v>
      </c>
      <c r="D76" s="46">
        <f>SUM(D77:D85)</f>
        <v>8635257.43</v>
      </c>
      <c r="E76" s="90">
        <f>SUM(E77:E85)</f>
        <v>28096479.240000002</v>
      </c>
      <c r="F76" s="90">
        <f>SUM(F77:F85)</f>
        <v>9985074.79</v>
      </c>
      <c r="G76" s="90">
        <f>SUM(G77:G85)</f>
        <v>1645579.3399999999</v>
      </c>
      <c r="H76" s="90">
        <f>SUM(H77:H85)</f>
        <v>10084219.1</v>
      </c>
      <c r="I76" s="90">
        <f>SUM(I77:I85)</f>
        <v>1507011.27</v>
      </c>
      <c r="J76" s="46">
        <f>SUM(J77:J85)</f>
        <v>1448961.6699999995</v>
      </c>
      <c r="K76" s="49">
        <f t="shared" si="18"/>
        <v>99144.31000000052</v>
      </c>
      <c r="L76" s="49">
        <f t="shared" si="19"/>
        <v>-18012260.14</v>
      </c>
      <c r="M76" s="49">
        <f t="shared" si="20"/>
        <v>-138568.06999999983</v>
      </c>
      <c r="N76" s="50">
        <f t="shared" si="13"/>
        <v>1.1677960016531899</v>
      </c>
      <c r="O76" s="50">
        <f t="shared" si="16"/>
        <v>1.0099292506150572</v>
      </c>
      <c r="P76" s="50">
        <f t="shared" si="17"/>
        <v>0.3589139768673735</v>
      </c>
    </row>
    <row r="77" spans="1:16" ht="31.5">
      <c r="A77" s="182"/>
      <c r="B77" s="162"/>
      <c r="C77" s="19" t="s">
        <v>67</v>
      </c>
      <c r="D77" s="36">
        <v>539943.4</v>
      </c>
      <c r="E77" s="115">
        <v>384548</v>
      </c>
      <c r="F77" s="88">
        <v>320133.9</v>
      </c>
      <c r="G77" s="88">
        <v>0</v>
      </c>
      <c r="H77" s="88">
        <v>326643.7</v>
      </c>
      <c r="I77" s="88">
        <v>0</v>
      </c>
      <c r="J77" s="3">
        <f aca="true" t="shared" si="21" ref="J77:J83">H77-D77</f>
        <v>-213299.7</v>
      </c>
      <c r="K77" s="3">
        <f>H77-F77</f>
        <v>6509.799999999988</v>
      </c>
      <c r="L77" s="3">
        <f>H77-E77</f>
        <v>-57904.29999999999</v>
      </c>
      <c r="M77" s="3">
        <f>I77-G77</f>
        <v>0</v>
      </c>
      <c r="N77" s="42">
        <f t="shared" si="13"/>
        <v>0.6049591494219579</v>
      </c>
      <c r="O77" s="42">
        <f t="shared" si="16"/>
        <v>1.0203346162340194</v>
      </c>
      <c r="P77" s="42">
        <f t="shared" si="17"/>
        <v>0.8494224388112798</v>
      </c>
    </row>
    <row r="78" spans="1:16" ht="15.75">
      <c r="A78" s="182"/>
      <c r="B78" s="162"/>
      <c r="C78" s="20" t="s">
        <v>68</v>
      </c>
      <c r="D78" s="36">
        <v>1000995.93</v>
      </c>
      <c r="E78" s="115">
        <v>9911830.88</v>
      </c>
      <c r="F78" s="88">
        <v>1470838.0199999998</v>
      </c>
      <c r="G78" s="89">
        <v>6737.6</v>
      </c>
      <c r="H78" s="89">
        <v>1470838.0199999998</v>
      </c>
      <c r="I78" s="89">
        <v>0</v>
      </c>
      <c r="J78" s="3">
        <f t="shared" si="21"/>
        <v>469842.08999999973</v>
      </c>
      <c r="K78" s="88">
        <f>H78-F78</f>
        <v>0</v>
      </c>
      <c r="L78" s="88">
        <f>H78-E78</f>
        <v>-8440992.860000001</v>
      </c>
      <c r="M78" s="88">
        <f>I78-G78</f>
        <v>-6737.6</v>
      </c>
      <c r="N78" s="42">
        <f t="shared" si="13"/>
        <v>1.4693746257289975</v>
      </c>
      <c r="O78" s="42">
        <f t="shared" si="16"/>
        <v>1</v>
      </c>
      <c r="P78" s="42">
        <f t="shared" si="17"/>
        <v>0.14839216263948196</v>
      </c>
    </row>
    <row r="79" spans="1:16" ht="15.75">
      <c r="A79" s="182"/>
      <c r="B79" s="162"/>
      <c r="C79" s="20" t="s">
        <v>69</v>
      </c>
      <c r="D79" s="36">
        <v>5748074.97</v>
      </c>
      <c r="E79" s="115">
        <v>12307705.3</v>
      </c>
      <c r="F79" s="88">
        <v>6008407.06</v>
      </c>
      <c r="G79" s="89">
        <v>1499584.5999999999</v>
      </c>
      <c r="H79" s="89">
        <v>6008407.06</v>
      </c>
      <c r="I79" s="89">
        <v>1451043.47</v>
      </c>
      <c r="J79" s="3">
        <f t="shared" si="21"/>
        <v>260332.08999999985</v>
      </c>
      <c r="K79" s="88">
        <f>H79-F79</f>
        <v>0</v>
      </c>
      <c r="L79" s="88">
        <f t="shared" si="19"/>
        <v>-6299298.240000001</v>
      </c>
      <c r="M79" s="88">
        <f>I79-G79</f>
        <v>-48541.12999999989</v>
      </c>
      <c r="N79" s="42">
        <f t="shared" si="13"/>
        <v>1.0452903087309593</v>
      </c>
      <c r="O79" s="42">
        <f t="shared" si="16"/>
        <v>1</v>
      </c>
      <c r="P79" s="42">
        <f t="shared" si="17"/>
        <v>0.48818255828728685</v>
      </c>
    </row>
    <row r="80" spans="1:16" ht="15.75">
      <c r="A80" s="182"/>
      <c r="B80" s="162"/>
      <c r="C80" s="9" t="s">
        <v>70</v>
      </c>
      <c r="D80" s="36">
        <v>1310763.39</v>
      </c>
      <c r="E80" s="115">
        <v>5484388.19</v>
      </c>
      <c r="F80" s="88">
        <v>2177688.94</v>
      </c>
      <c r="G80" s="88">
        <v>139257.14</v>
      </c>
      <c r="H80" s="88">
        <v>2176709.8</v>
      </c>
      <c r="I80" s="88">
        <v>0</v>
      </c>
      <c r="J80" s="3">
        <f t="shared" si="21"/>
        <v>865946.4099999999</v>
      </c>
      <c r="K80" s="88">
        <f>H80-F80</f>
        <v>-979.1400000001304</v>
      </c>
      <c r="L80" s="88">
        <f t="shared" si="19"/>
        <v>-3307678.3900000006</v>
      </c>
      <c r="M80" s="88">
        <f t="shared" si="20"/>
        <v>-139257.14</v>
      </c>
      <c r="N80" s="42">
        <f t="shared" si="13"/>
        <v>1.6606428105990967</v>
      </c>
      <c r="O80" s="42">
        <f t="shared" si="16"/>
        <v>0.9995503765565342</v>
      </c>
      <c r="P80" s="42">
        <f t="shared" si="17"/>
        <v>0.3968920004548401</v>
      </c>
    </row>
    <row r="81" spans="1:16" ht="31.5">
      <c r="A81" s="183"/>
      <c r="B81" s="185"/>
      <c r="C81" s="9" t="s">
        <v>87</v>
      </c>
      <c r="D81" s="36">
        <v>4.06</v>
      </c>
      <c r="E81" s="88">
        <v>0</v>
      </c>
      <c r="F81" s="88">
        <v>0</v>
      </c>
      <c r="G81" s="88">
        <v>0</v>
      </c>
      <c r="H81" s="3">
        <v>387.89</v>
      </c>
      <c r="I81" s="3">
        <v>0</v>
      </c>
      <c r="J81" s="3">
        <f t="shared" si="21"/>
        <v>383.83</v>
      </c>
      <c r="K81" s="3">
        <f>H81-F81</f>
        <v>387.89</v>
      </c>
      <c r="L81" s="3">
        <f t="shared" si="19"/>
        <v>387.89</v>
      </c>
      <c r="M81" s="3">
        <f t="shared" si="20"/>
        <v>0</v>
      </c>
      <c r="N81" s="43">
        <f t="shared" si="13"/>
        <v>95.53940886699507</v>
      </c>
      <c r="O81" s="42">
        <f t="shared" si="16"/>
      </c>
      <c r="P81" s="43">
        <f t="shared" si="17"/>
      </c>
    </row>
    <row r="82" spans="1:16" ht="29.25" customHeight="1">
      <c r="A82" s="182"/>
      <c r="B82" s="162"/>
      <c r="C82" s="32" t="s">
        <v>71</v>
      </c>
      <c r="D82" s="36">
        <v>49651.11</v>
      </c>
      <c r="E82" s="88">
        <v>0</v>
      </c>
      <c r="F82" s="88">
        <v>0</v>
      </c>
      <c r="G82" s="88">
        <v>0</v>
      </c>
      <c r="H82" s="3">
        <v>214766.09</v>
      </c>
      <c r="I82" s="3">
        <v>55846</v>
      </c>
      <c r="J82" s="3">
        <f t="shared" si="21"/>
        <v>165114.97999999998</v>
      </c>
      <c r="K82" s="3">
        <f>H82-F82</f>
        <v>214766.09</v>
      </c>
      <c r="L82" s="3">
        <f>H82-E82</f>
        <v>214766.09</v>
      </c>
      <c r="M82" s="3">
        <f t="shared" si="20"/>
        <v>55846</v>
      </c>
      <c r="N82" s="42">
        <f t="shared" si="13"/>
        <v>4.325504303931976</v>
      </c>
      <c r="O82" s="42">
        <f t="shared" si="16"/>
      </c>
      <c r="P82" s="42">
        <f t="shared" si="17"/>
      </c>
    </row>
    <row r="83" spans="1:17" s="79" customFormat="1" ht="70.5" customHeight="1" hidden="1">
      <c r="A83" s="184"/>
      <c r="B83" s="186"/>
      <c r="C83" s="126" t="s">
        <v>90</v>
      </c>
      <c r="D83" s="134"/>
      <c r="E83" s="127">
        <v>0</v>
      </c>
      <c r="F83" s="127">
        <v>0</v>
      </c>
      <c r="G83" s="127">
        <v>0</v>
      </c>
      <c r="H83" s="128">
        <v>121.8</v>
      </c>
      <c r="I83" s="128">
        <v>121.8</v>
      </c>
      <c r="J83" s="129">
        <f t="shared" si="21"/>
        <v>121.8</v>
      </c>
      <c r="K83" s="129">
        <f>H83-F83</f>
        <v>121.8</v>
      </c>
      <c r="L83" s="129">
        <f>H83-E83</f>
        <v>121.8</v>
      </c>
      <c r="M83" s="129">
        <f t="shared" si="20"/>
        <v>121.8</v>
      </c>
      <c r="N83" s="130">
        <f t="shared" si="13"/>
      </c>
      <c r="O83" s="131">
        <f t="shared" si="16"/>
      </c>
      <c r="P83" s="130">
        <f t="shared" si="17"/>
      </c>
      <c r="Q83" s="78"/>
    </row>
    <row r="84" spans="1:16" ht="31.5">
      <c r="A84" s="182"/>
      <c r="B84" s="162"/>
      <c r="C84" s="7" t="s">
        <v>72</v>
      </c>
      <c r="D84" s="36">
        <v>322697.96</v>
      </c>
      <c r="E84" s="110">
        <v>8006.87</v>
      </c>
      <c r="F84" s="110">
        <v>8006.87</v>
      </c>
      <c r="G84" s="110">
        <v>0</v>
      </c>
      <c r="H84" s="5">
        <v>159807.43000000002</v>
      </c>
      <c r="I84" s="5">
        <v>0</v>
      </c>
      <c r="J84" s="3">
        <f t="shared" si="15"/>
        <v>-162890.53</v>
      </c>
      <c r="K84" s="3">
        <f t="shared" si="18"/>
        <v>151800.56000000003</v>
      </c>
      <c r="L84" s="3">
        <f t="shared" si="19"/>
        <v>151800.56000000003</v>
      </c>
      <c r="M84" s="3">
        <f t="shared" si="20"/>
        <v>0</v>
      </c>
      <c r="N84" s="42">
        <f t="shared" si="13"/>
        <v>0.49522293230487113</v>
      </c>
      <c r="O84" s="42">
        <f t="shared" si="16"/>
        <v>19.958789139826177</v>
      </c>
      <c r="P84" s="42">
        <f t="shared" si="17"/>
        <v>19.958789139826177</v>
      </c>
    </row>
    <row r="85" spans="1:16" ht="15.75">
      <c r="A85" s="182"/>
      <c r="B85" s="162"/>
      <c r="C85" s="7" t="s">
        <v>73</v>
      </c>
      <c r="D85" s="36">
        <v>-336873.39</v>
      </c>
      <c r="E85" s="88">
        <v>0</v>
      </c>
      <c r="F85" s="88">
        <v>0</v>
      </c>
      <c r="G85" s="88">
        <v>0</v>
      </c>
      <c r="H85" s="3">
        <v>-273462.69</v>
      </c>
      <c r="I85" s="3">
        <v>0</v>
      </c>
      <c r="J85" s="3">
        <f t="shared" si="15"/>
        <v>63410.70000000001</v>
      </c>
      <c r="K85" s="3">
        <f t="shared" si="18"/>
        <v>-273462.69</v>
      </c>
      <c r="L85" s="3">
        <f t="shared" si="19"/>
        <v>-273462.69</v>
      </c>
      <c r="M85" s="3">
        <f t="shared" si="20"/>
        <v>0</v>
      </c>
      <c r="N85" s="42">
        <f t="shared" si="13"/>
        <v>0.8117669668120714</v>
      </c>
      <c r="O85" s="42">
        <f t="shared" si="16"/>
      </c>
      <c r="P85" s="42">
        <f t="shared" si="17"/>
      </c>
    </row>
    <row r="86" spans="1:16" ht="29.25" customHeight="1">
      <c r="A86" s="175" t="s">
        <v>74</v>
      </c>
      <c r="B86" s="175"/>
      <c r="C86" s="175"/>
      <c r="D86" s="65">
        <f>D74+D76</f>
        <v>16779078.560000002</v>
      </c>
      <c r="E86" s="122">
        <f>E74+E76</f>
        <v>54667276.970000006</v>
      </c>
      <c r="F86" s="122">
        <f>F74+F76</f>
        <v>20931717.4</v>
      </c>
      <c r="G86" s="122">
        <f>G74+G76</f>
        <v>3339202.44</v>
      </c>
      <c r="H86" s="122">
        <f>H74+H76</f>
        <v>18905116.84</v>
      </c>
      <c r="I86" s="122">
        <f>I74+I76</f>
        <v>1567661.91</v>
      </c>
      <c r="J86" s="65">
        <f>J74+J76</f>
        <v>2126038.279999999</v>
      </c>
      <c r="K86" s="65">
        <f>K74+K76</f>
        <v>-2026600.5600000005</v>
      </c>
      <c r="L86" s="45">
        <f t="shared" si="19"/>
        <v>-35762160.13000001</v>
      </c>
      <c r="M86" s="45">
        <f t="shared" si="20"/>
        <v>-1771540.53</v>
      </c>
      <c r="N86" s="64">
        <f t="shared" si="13"/>
        <v>1.126707689721908</v>
      </c>
      <c r="O86" s="64">
        <f>_xlfn.IFERROR(H86/F86,"")</f>
        <v>0.9031803974192772</v>
      </c>
      <c r="P86" s="64">
        <f t="shared" si="17"/>
        <v>0.3458214472686218</v>
      </c>
    </row>
    <row r="87" spans="1:16" ht="15.75" hidden="1">
      <c r="A87" s="176" t="s">
        <v>81</v>
      </c>
      <c r="B87" s="176"/>
      <c r="C87" s="176"/>
      <c r="D87" s="45">
        <v>6683833.650000001</v>
      </c>
      <c r="E87" s="123">
        <f>E86-E54-E53-E52</f>
        <v>49784686.86000001</v>
      </c>
      <c r="F87" s="123">
        <f>G87</f>
        <v>2961183.64</v>
      </c>
      <c r="G87" s="123">
        <f>G86-G54-G53-G52</f>
        <v>2961183.64</v>
      </c>
      <c r="H87" s="102">
        <f>H86-H54-H53-H52</f>
        <v>16912222.95</v>
      </c>
      <c r="I87" s="102">
        <f>I86-I54-I53-I52</f>
        <v>1533282.46</v>
      </c>
      <c r="J87" s="45">
        <f t="shared" si="15"/>
        <v>10228389.299999997</v>
      </c>
      <c r="K87" s="45">
        <f t="shared" si="18"/>
        <v>13951039.309999999</v>
      </c>
      <c r="L87" s="45">
        <f t="shared" si="19"/>
        <v>-32872463.910000008</v>
      </c>
      <c r="M87" s="45">
        <f>H87-G87</f>
        <v>13951039.309999999</v>
      </c>
      <c r="N87" s="77">
        <f>H87/D87</f>
        <v>2.530317754093116</v>
      </c>
      <c r="O87" s="77">
        <f t="shared" si="16"/>
        <v>5.711305007074806</v>
      </c>
      <c r="P87" s="43">
        <f t="shared" si="17"/>
        <v>0.33970732802958115</v>
      </c>
    </row>
    <row r="88" spans="1:16" ht="15.75">
      <c r="A88" s="21" t="s">
        <v>75</v>
      </c>
      <c r="B88" s="22"/>
      <c r="C88" s="23"/>
      <c r="D88" s="24"/>
      <c r="E88" s="124"/>
      <c r="F88" s="124"/>
      <c r="G88" s="124"/>
      <c r="H88" s="103"/>
      <c r="I88" s="103"/>
      <c r="J88" s="24"/>
      <c r="K88" s="24"/>
      <c r="L88" s="24"/>
      <c r="M88" s="24"/>
      <c r="N88" s="25"/>
      <c r="O88" s="26"/>
      <c r="P88" s="25"/>
    </row>
  </sheetData>
  <sheetProtection/>
  <autoFilter ref="A4:P89"/>
  <mergeCells count="39">
    <mergeCell ref="B63:B64"/>
    <mergeCell ref="A63:A64"/>
    <mergeCell ref="A86:C86"/>
    <mergeCell ref="A87:C87"/>
    <mergeCell ref="A65:A73"/>
    <mergeCell ref="B65:B73"/>
    <mergeCell ref="A74:C74"/>
    <mergeCell ref="A75:C75"/>
    <mergeCell ref="A76:A85"/>
    <mergeCell ref="B76:B85"/>
    <mergeCell ref="A1:P1"/>
    <mergeCell ref="A3:A4"/>
    <mergeCell ref="B3:B4"/>
    <mergeCell ref="C3:C4"/>
    <mergeCell ref="D3:D4"/>
    <mergeCell ref="E3:G3"/>
    <mergeCell ref="O3:O4"/>
    <mergeCell ref="P3:P4"/>
    <mergeCell ref="A61:A62"/>
    <mergeCell ref="B61:B62"/>
    <mergeCell ref="A30:A37"/>
    <mergeCell ref="B30:B37"/>
    <mergeCell ref="A38:A48"/>
    <mergeCell ref="B38:B48"/>
    <mergeCell ref="A49:A50"/>
    <mergeCell ref="B49:B50"/>
    <mergeCell ref="A51:A56"/>
    <mergeCell ref="B51:B56"/>
    <mergeCell ref="A57:A60"/>
    <mergeCell ref="B57:B60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" bottom="0.43" header="0.19" footer="0.31496062992125984"/>
  <pageSetup fitToHeight="2" fitToWidth="1" horizontalDpi="600" verticalDpi="600" orientation="landscape" paperSize="9" scale="56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2023-06-02T09:42:40Z</cp:lastPrinted>
  <dcterms:created xsi:type="dcterms:W3CDTF">2015-02-26T11:08:47Z</dcterms:created>
  <dcterms:modified xsi:type="dcterms:W3CDTF">2023-06-07T11:36:33Z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