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19.06.2023" sheetId="1" r:id="rId1"/>
  </sheets>
  <definedNames>
    <definedName name="_xlfn.IFERROR" hidden="1">#NAME?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'19.06.2023'!$3:$4</definedName>
    <definedName name="о">#REF!</definedName>
    <definedName name="_xlnm.Print_Area" localSheetId="0">'19.06.2023'!$A$1:$Q$80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<sst xmlns="http://schemas.openxmlformats.org/spreadsheetml/2006/main" count="193" uniqueCount="160">
  <si>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</si>
  <si>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</si>
  <si>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</si>
  <si>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</si>
  <si>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</si>
  <si>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</si>
  <si>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</si>
  <si>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</si>
  <si>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</si>
  <si>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</si>
  <si>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</si>
  <si>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</si>
  <si>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</si>
  <si>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</si>
  <si>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</si>
  <si>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</si>
  <si>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</si>
  <si>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</si>
  <si>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</si>
  <si>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</si>
  <si>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</si>
  <si>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</si>
  <si>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</si>
  <si>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</si>
  <si>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</si>
  <si>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</si>
  <si>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</si>
  <si>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</si>
  <si>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</si>
  <si>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</si>
  <si>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</si>
  <si>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</si>
  <si>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</si>
  <si>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</si>
  <si>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</si>
  <si>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</si>
  <si>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</si>
  <si>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</si>
  <si>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</si>
  <si>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</si>
  <si>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</si>
  <si>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</si>
  <si>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</si>
  <si>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</si>
  <si>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</si>
  <si>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</si>
  <si>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</si>
  <si>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</si>
  <si>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</si>
  <si>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</si>
  <si>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</si>
  <si>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</si>
  <si>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</si>
  <si>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</si>
  <si>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</si>
  <si>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</si>
  <si>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</si>
  <si>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</si>
  <si>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</si>
  <si>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</si>
  <si>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</si>
  <si>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</si>
  <si>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</si>
  <si>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</si>
  <si>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</si>
  <si>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</si>
  <si>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</si>
  <si>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</si>
  <si>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</si>
  <si>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</si>
  <si>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</si>
  <si>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</si>
  <si>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</si>
  <si>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</si>
  <si>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</si>
  <si>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</si>
  <si>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</si>
  <si>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</si>
  <si>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</si>
  <si>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</si>
  <si>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</si>
  <si>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</si>
  <si>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</si>
  <si>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</si>
  <si>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</si>
  <si>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</si>
  <si>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</si>
  <si>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</si>
  <si>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</si>
  <si>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</si>
  <si>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</si>
  <si>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</si>
  <si>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</si>
  <si>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</si>
  <si>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</si>
  <si>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</si>
  <si>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</si>
  <si>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</si>
  <si>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</si>
  <si>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</si>
  <si>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</si>
  <si>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</si>
  <si>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</si>
  <si>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</si>
  <si>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</si>
  <si>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</si>
  <si>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</si>
  <si>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</si>
  <si>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</si>
  <si>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</si>
  <si>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</si>
  <si>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</si>
  <si>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</si>
  <si>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</si>
  <si>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</si>
  <si>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</si>
  <si>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</si>
  <si>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</si>
  <si>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</si>
  <si>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</si>
  <si>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</si>
  <si>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</si>
  <si>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</si>
  <si>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</si>
  <si>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</si>
  <si>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</si>
  <si>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</si>
  <si>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</si>
  <si>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</si>
  <si>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</si>
  <si>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</si>
  <si>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</si>
  <si>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</si>
  <si>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</si>
  <si>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</si>
  <si>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</si>
  <si>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</si>
  <si>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</si>
  <si>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</si>
  <si>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</si>
  <si>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</si>
  <si>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</si>
  <si>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</si>
  <si>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</si>
  <si>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</si>
  <si>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</si>
  <si>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</si>
  <si>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</si>
  <si>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</si>
  <si>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</si>
  <si>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</si>
  <si>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</si>
  <si>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</si>
  <si>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</si>
  <si>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</si>
  <si>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январь-июнь</t>
  </si>
  <si>
    <t>июнь</t>
  </si>
  <si>
    <t>факта за июня от плана июня</t>
  </si>
  <si>
    <t>Факт с нач. 2022 года      (по 16.06.22 вкл.)</t>
  </si>
  <si>
    <t>с нач. года на 19.06.2023 (по 16.06.2023 вкл.)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</si>
</sst>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</numFmts>
  <fonts count="46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i/>
      <sz val="10"/>
      <name val="Arial Cyr"/>
      <family val="0"/>
    </font>
    <font>
      <b/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4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wrapText="1"/>
    </xf>
    <xf numFmtId="167" fontId="4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9" fontId="4" fillId="0" borderId="10" xfId="144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1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9" xfId="139"/>
    <cellStyle name="Плохой" xfId="140"/>
    <cellStyle name="Пояснение" xfId="141"/>
    <cellStyle name="Примечание" xfId="142"/>
    <cellStyle name="Percent" xfId="143"/>
    <cellStyle name="Процентный 2" xfId="144"/>
    <cellStyle name="Процентный 2 2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Финансовый 3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zoomScale="89" zoomScaleNormal="89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46" sqref="O46"/>
    </sheetView>
  </sheetViews>
  <sheetFormatPr defaultColWidth="9.00390625" defaultRowHeight="12.75"/>
  <cols>
    <col min="1" max="2" width="9.125" style="32" customWidth="1"/>
    <col min="3" max="3" width="19.125" style="80" hidden="1" customWidth="1"/>
    <col min="4" max="4" width="67.625" style="32" customWidth="1"/>
    <col min="5" max="5" width="14.625" style="40" customWidth="1"/>
    <col min="6" max="6" width="15.625" style="35" customWidth="1"/>
    <col min="7" max="7" width="13.375" style="35" customWidth="1"/>
    <col min="8" max="8" width="14.375" style="35" customWidth="1"/>
    <col min="9" max="9" width="16.25390625" style="35" customWidth="1"/>
    <col min="10" max="10" width="13.875" style="35" customWidth="1"/>
    <col min="11" max="11" width="15.125" style="35" customWidth="1"/>
    <col min="12" max="12" width="14.375" style="35" customWidth="1"/>
    <col min="13" max="13" width="15.625" style="35" customWidth="1"/>
    <col min="14" max="14" width="13.75390625" style="35" customWidth="1"/>
    <col min="15" max="15" width="14.00390625" style="32" customWidth="1"/>
    <col min="16" max="16" width="10.125" style="32" customWidth="1"/>
    <col min="17" max="17" width="9.25390625" style="32" customWidth="1"/>
    <col min="18" max="18" width="7.375" style="32" customWidth="1"/>
    <col min="19" max="19" width="9.125" style="32" customWidth="1"/>
    <col min="20" max="20" width="16.625" style="32" customWidth="1"/>
    <col min="21" max="21" width="9.125" style="32" customWidth="1"/>
    <col min="22" max="22" width="15.75390625" style="32" customWidth="1"/>
    <col min="23" max="16384" width="9.125" style="32" customWidth="1"/>
  </cols>
  <sheetData>
    <row r="1" spans="1:18" ht="20.25">
      <c r="A1" s="111" t="s">
        <v>136</v>
      </c>
      <c r="B1" s="111"/>
      <c r="C1" s="112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66"/>
    </row>
    <row r="2" spans="1:18" ht="20.25" customHeight="1">
      <c r="A2" s="20"/>
      <c r="B2" s="21"/>
      <c r="C2" s="67"/>
      <c r="D2" s="19"/>
      <c r="E2" s="37"/>
      <c r="F2" s="37"/>
      <c r="G2" s="37"/>
      <c r="H2" s="37"/>
      <c r="I2" s="37"/>
      <c r="J2" s="37"/>
      <c r="K2" s="37"/>
      <c r="L2" s="37"/>
      <c r="M2" s="37"/>
      <c r="N2" s="37"/>
      <c r="O2" s="19"/>
      <c r="P2" s="18"/>
      <c r="Q2" s="18" t="s">
        <v>0</v>
      </c>
      <c r="R2" s="66"/>
    </row>
    <row r="3" spans="1:18" ht="20.25" customHeight="1">
      <c r="A3" s="113" t="s">
        <v>1</v>
      </c>
      <c r="B3" s="109" t="s">
        <v>2</v>
      </c>
      <c r="C3" s="114" t="s">
        <v>3</v>
      </c>
      <c r="D3" s="116" t="s">
        <v>4</v>
      </c>
      <c r="E3" s="118" t="s">
        <v>158</v>
      </c>
      <c r="F3" s="120" t="s">
        <v>135</v>
      </c>
      <c r="G3" s="121"/>
      <c r="H3" s="122"/>
      <c r="I3" s="120" t="s">
        <v>137</v>
      </c>
      <c r="J3" s="122"/>
      <c r="K3" s="120" t="s">
        <v>5</v>
      </c>
      <c r="L3" s="121"/>
      <c r="M3" s="121"/>
      <c r="N3" s="122"/>
      <c r="O3" s="124" t="s">
        <v>152</v>
      </c>
      <c r="P3" s="123" t="s">
        <v>150</v>
      </c>
      <c r="Q3" s="124" t="s">
        <v>151</v>
      </c>
      <c r="R3" s="66"/>
    </row>
    <row r="4" spans="1:18" ht="63">
      <c r="A4" s="113"/>
      <c r="B4" s="109"/>
      <c r="C4" s="115"/>
      <c r="D4" s="117"/>
      <c r="E4" s="119"/>
      <c r="F4" s="38" t="s">
        <v>132</v>
      </c>
      <c r="G4" s="38" t="s">
        <v>155</v>
      </c>
      <c r="H4" s="38" t="s">
        <v>156</v>
      </c>
      <c r="I4" s="41" t="s">
        <v>159</v>
      </c>
      <c r="J4" s="38" t="s">
        <v>156</v>
      </c>
      <c r="K4" s="38" t="s">
        <v>138</v>
      </c>
      <c r="L4" s="38" t="s">
        <v>6</v>
      </c>
      <c r="M4" s="38" t="s">
        <v>139</v>
      </c>
      <c r="N4" s="38" t="s">
        <v>157</v>
      </c>
      <c r="O4" s="124"/>
      <c r="P4" s="123"/>
      <c r="Q4" s="124"/>
      <c r="R4" s="16"/>
    </row>
    <row r="5" spans="1:20" ht="29.25" customHeight="1">
      <c r="A5" s="81"/>
      <c r="B5" s="82"/>
      <c r="C5" s="68"/>
      <c r="D5" s="83" t="s">
        <v>7</v>
      </c>
      <c r="E5" s="53">
        <f>E17+E19+E21+E18+E20</f>
        <v>6583187.44</v>
      </c>
      <c r="F5" s="53">
        <f>F17+F19+F21+F18+F20</f>
        <v>20002935.000000004</v>
      </c>
      <c r="G5" s="53">
        <f>G17+G19+G21+G18+G20</f>
        <v>7774039.000000001</v>
      </c>
      <c r="H5" s="53">
        <f>H17+H19+H21+H18+H20</f>
        <v>1171786.0000000002</v>
      </c>
      <c r="I5" s="53">
        <f>I17+I19+I21+I18+I20</f>
        <v>5970996.430000002</v>
      </c>
      <c r="J5" s="53">
        <f>J17+J19+J21+J18+J20</f>
        <v>81523.44</v>
      </c>
      <c r="K5" s="53">
        <f>K17+K19+K21+K18+K20</f>
        <v>-612191.0100000005</v>
      </c>
      <c r="L5" s="84">
        <f>I5-G5</f>
        <v>-1803042.5699999994</v>
      </c>
      <c r="M5" s="84">
        <f>I5-F5</f>
        <v>-14031938.570000002</v>
      </c>
      <c r="N5" s="84">
        <f>J5-H5</f>
        <v>-1090262.5600000003</v>
      </c>
      <c r="O5" s="29">
        <f aca="true" t="shared" si="0" ref="O5:O36">_xlfn.IFERROR(I5/E5,"")</f>
        <v>0.9070068996850561</v>
      </c>
      <c r="P5" s="29">
        <f aca="true" t="shared" si="1" ref="P5:P36">_xlfn.IFERROR(I5/G5,"")</f>
        <v>0.7680687516489177</v>
      </c>
      <c r="Q5" s="29">
        <f aca="true" t="shared" si="2" ref="Q5:Q36">_xlfn.IFERROR(I5/F5,"")</f>
        <v>0.2985060157421899</v>
      </c>
      <c r="R5" s="77"/>
      <c r="T5" s="35"/>
    </row>
    <row r="6" spans="1:23" ht="15.75">
      <c r="A6" s="138" t="s">
        <v>12</v>
      </c>
      <c r="B6" s="62" t="s">
        <v>13</v>
      </c>
      <c r="C6" s="68" t="s">
        <v>14</v>
      </c>
      <c r="D6" s="2" t="s">
        <v>15</v>
      </c>
      <c r="E6" s="56">
        <v>5003785.16</v>
      </c>
      <c r="F6" s="42">
        <f>14235121.9+613644.6</f>
        <v>14848766.5</v>
      </c>
      <c r="G6" s="42">
        <v>5815657.500000001</v>
      </c>
      <c r="H6" s="42">
        <v>1129862.4000000001</v>
      </c>
      <c r="I6" s="42">
        <v>4256251.13</v>
      </c>
      <c r="J6" s="42">
        <v>45617.66</v>
      </c>
      <c r="K6" s="42">
        <f aca="true" t="shared" si="3" ref="K6:K58">I6-E6</f>
        <v>-747534.0300000003</v>
      </c>
      <c r="L6" s="42">
        <f aca="true" t="shared" si="4" ref="L6:L65">I6-G6</f>
        <v>-1559406.370000001</v>
      </c>
      <c r="M6" s="42">
        <f aca="true" t="shared" si="5" ref="M6:M65">I6-F6</f>
        <v>-10592515.370000001</v>
      </c>
      <c r="N6" s="42">
        <f>J6-H6</f>
        <v>-1084244.7400000002</v>
      </c>
      <c r="O6" s="24">
        <f t="shared" si="0"/>
        <v>0.8506062898192055</v>
      </c>
      <c r="P6" s="24">
        <f t="shared" si="1"/>
        <v>0.7318606933093978</v>
      </c>
      <c r="Q6" s="24">
        <f t="shared" si="2"/>
        <v>0.286640047171595</v>
      </c>
      <c r="W6" s="35"/>
    </row>
    <row r="7" spans="1:23" ht="15.75">
      <c r="A7" s="134"/>
      <c r="B7" s="62" t="s">
        <v>8</v>
      </c>
      <c r="C7" s="68" t="s">
        <v>9</v>
      </c>
      <c r="D7" s="1" t="s">
        <v>10</v>
      </c>
      <c r="E7" s="57">
        <v>29082.93</v>
      </c>
      <c r="F7" s="43">
        <v>80057.5</v>
      </c>
      <c r="G7" s="43">
        <v>37510</v>
      </c>
      <c r="H7" s="43">
        <v>6620</v>
      </c>
      <c r="I7" s="43">
        <v>30978.03</v>
      </c>
      <c r="J7" s="43">
        <v>36.8</v>
      </c>
      <c r="K7" s="43">
        <f>I7-E7</f>
        <v>1895.0999999999985</v>
      </c>
      <c r="L7" s="43">
        <f>I7-G7</f>
        <v>-6531.970000000001</v>
      </c>
      <c r="M7" s="43">
        <f>I7-F7</f>
        <v>-49079.47</v>
      </c>
      <c r="N7" s="43">
        <f>J7-H7</f>
        <v>-6583.2</v>
      </c>
      <c r="O7" s="24">
        <f t="shared" si="0"/>
        <v>1.0651619351970383</v>
      </c>
      <c r="P7" s="24">
        <f t="shared" si="1"/>
        <v>0.8258605705145294</v>
      </c>
      <c r="Q7" s="24">
        <f t="shared" si="2"/>
        <v>0.38694725665927615</v>
      </c>
      <c r="W7" s="35"/>
    </row>
    <row r="8" spans="1:23" ht="15.75">
      <c r="A8" s="134"/>
      <c r="B8" s="62" t="s">
        <v>13</v>
      </c>
      <c r="C8" s="69" t="s">
        <v>141</v>
      </c>
      <c r="D8" s="23" t="s">
        <v>140</v>
      </c>
      <c r="E8" s="56"/>
      <c r="F8" s="42">
        <v>1204375.9</v>
      </c>
      <c r="G8" s="42">
        <v>648721.5</v>
      </c>
      <c r="H8" s="42">
        <v>0</v>
      </c>
      <c r="I8" s="42">
        <v>535300.0299999999</v>
      </c>
      <c r="J8" s="42">
        <v>9952.720000000001</v>
      </c>
      <c r="K8" s="42">
        <f>I8-E8</f>
        <v>535300.0299999999</v>
      </c>
      <c r="L8" s="42">
        <f>I8-G8</f>
        <v>-113421.47000000009</v>
      </c>
      <c r="M8" s="42">
        <f>I8-F8</f>
        <v>-669075.87</v>
      </c>
      <c r="N8" s="42">
        <f aca="true" t="shared" si="6" ref="N8:N65">J8-H8</f>
        <v>9952.720000000001</v>
      </c>
      <c r="O8" s="24">
        <f t="shared" si="0"/>
      </c>
      <c r="P8" s="24">
        <f t="shared" si="1"/>
        <v>0.8251615369615465</v>
      </c>
      <c r="Q8" s="24">
        <f t="shared" si="2"/>
        <v>0.4444625884659432</v>
      </c>
      <c r="W8" s="35"/>
    </row>
    <row r="9" spans="1:23" ht="15.75">
      <c r="A9" s="134"/>
      <c r="B9" s="62" t="s">
        <v>13</v>
      </c>
      <c r="C9" s="68" t="s">
        <v>16</v>
      </c>
      <c r="D9" s="2" t="s">
        <v>17</v>
      </c>
      <c r="E9" s="56">
        <v>808.98</v>
      </c>
      <c r="F9" s="42"/>
      <c r="G9" s="42"/>
      <c r="H9" s="42"/>
      <c r="I9" s="42">
        <v>-3271.38</v>
      </c>
      <c r="J9" s="42">
        <v>102.85</v>
      </c>
      <c r="K9" s="42">
        <f t="shared" si="3"/>
        <v>-4080.36</v>
      </c>
      <c r="L9" s="42">
        <f>I9-G9</f>
        <v>-3271.38</v>
      </c>
      <c r="M9" s="42">
        <f t="shared" si="5"/>
        <v>-3271.38</v>
      </c>
      <c r="N9" s="42">
        <f t="shared" si="6"/>
        <v>102.85</v>
      </c>
      <c r="O9" s="24">
        <f t="shared" si="0"/>
        <v>-4.043832974857228</v>
      </c>
      <c r="P9" s="24">
        <f t="shared" si="1"/>
      </c>
      <c r="Q9" s="24">
        <f t="shared" si="2"/>
      </c>
      <c r="W9" s="35"/>
    </row>
    <row r="10" spans="1:23" ht="15.75">
      <c r="A10" s="134"/>
      <c r="B10" s="62" t="s">
        <v>13</v>
      </c>
      <c r="C10" s="68" t="s">
        <v>18</v>
      </c>
      <c r="D10" s="2" t="s">
        <v>19</v>
      </c>
      <c r="E10" s="56">
        <v>2173.91</v>
      </c>
      <c r="F10" s="42">
        <v>4690.3</v>
      </c>
      <c r="G10" s="42">
        <v>2720.4</v>
      </c>
      <c r="H10" s="42">
        <v>0</v>
      </c>
      <c r="I10" s="42">
        <v>-1469.05</v>
      </c>
      <c r="J10" s="42">
        <v>-14.41</v>
      </c>
      <c r="K10" s="42">
        <f t="shared" si="3"/>
        <v>-3642.96</v>
      </c>
      <c r="L10" s="42">
        <f t="shared" si="4"/>
        <v>-4189.45</v>
      </c>
      <c r="M10" s="42">
        <f t="shared" si="5"/>
        <v>-6159.35</v>
      </c>
      <c r="N10" s="42">
        <f t="shared" si="6"/>
        <v>-14.41</v>
      </c>
      <c r="O10" s="24">
        <f t="shared" si="0"/>
        <v>-0.6757639460695245</v>
      </c>
      <c r="P10" s="24">
        <f t="shared" si="1"/>
        <v>-0.540012498162035</v>
      </c>
      <c r="Q10" s="24">
        <f t="shared" si="2"/>
        <v>-0.3132102424151973</v>
      </c>
      <c r="W10" s="35"/>
    </row>
    <row r="11" spans="1:23" ht="15.75">
      <c r="A11" s="134"/>
      <c r="B11" s="62" t="s">
        <v>13</v>
      </c>
      <c r="C11" s="68" t="s">
        <v>20</v>
      </c>
      <c r="D11" s="2" t="s">
        <v>143</v>
      </c>
      <c r="E11" s="56">
        <v>114212.81</v>
      </c>
      <c r="F11" s="42">
        <v>314766.5</v>
      </c>
      <c r="G11" s="42">
        <v>125647</v>
      </c>
      <c r="H11" s="42">
        <v>573</v>
      </c>
      <c r="I11" s="42">
        <v>101291.73</v>
      </c>
      <c r="J11" s="42">
        <v>2764.9199999999996</v>
      </c>
      <c r="K11" s="42">
        <f t="shared" si="3"/>
        <v>-12921.080000000002</v>
      </c>
      <c r="L11" s="42">
        <f t="shared" si="4"/>
        <v>-24355.270000000004</v>
      </c>
      <c r="M11" s="42">
        <f t="shared" si="5"/>
        <v>-213474.77000000002</v>
      </c>
      <c r="N11" s="42">
        <f t="shared" si="6"/>
        <v>2191.9199999999996</v>
      </c>
      <c r="O11" s="24">
        <f t="shared" si="0"/>
        <v>0.8868683819266858</v>
      </c>
      <c r="P11" s="24">
        <f t="shared" si="1"/>
        <v>0.8061611498881788</v>
      </c>
      <c r="Q11" s="24">
        <f t="shared" si="2"/>
        <v>0.3217995879485269</v>
      </c>
      <c r="W11" s="35"/>
    </row>
    <row r="12" spans="1:23" ht="15.75">
      <c r="A12" s="134"/>
      <c r="B12" s="62" t="s">
        <v>21</v>
      </c>
      <c r="C12" s="68" t="s">
        <v>22</v>
      </c>
      <c r="D12" s="2" t="s">
        <v>23</v>
      </c>
      <c r="E12" s="56">
        <v>51424.79</v>
      </c>
      <c r="F12" s="42">
        <v>1083466.2</v>
      </c>
      <c r="G12" s="42">
        <v>67900</v>
      </c>
      <c r="H12" s="42">
        <v>8300</v>
      </c>
      <c r="I12" s="42">
        <v>32531.75</v>
      </c>
      <c r="J12" s="42">
        <v>3417.3999999999996</v>
      </c>
      <c r="K12" s="42">
        <f t="shared" si="3"/>
        <v>-18893.04</v>
      </c>
      <c r="L12" s="42">
        <f t="shared" si="4"/>
        <v>-35368.25</v>
      </c>
      <c r="M12" s="42">
        <f t="shared" si="5"/>
        <v>-1050934.45</v>
      </c>
      <c r="N12" s="42">
        <f t="shared" si="6"/>
        <v>-4882.6</v>
      </c>
      <c r="O12" s="24">
        <f t="shared" si="0"/>
        <v>0.632608319839517</v>
      </c>
      <c r="P12" s="24">
        <f t="shared" si="1"/>
        <v>0.47911266568483063</v>
      </c>
      <c r="Q12" s="24">
        <f t="shared" si="2"/>
        <v>0.030025625164864397</v>
      </c>
      <c r="W12" s="35"/>
    </row>
    <row r="13" spans="1:23" ht="15.75">
      <c r="A13" s="134"/>
      <c r="B13" s="62" t="s">
        <v>105</v>
      </c>
      <c r="C13" s="68" t="s">
        <v>147</v>
      </c>
      <c r="D13" s="2" t="s">
        <v>146</v>
      </c>
      <c r="E13" s="56">
        <v>316677.9</v>
      </c>
      <c r="F13" s="42"/>
      <c r="G13" s="42"/>
      <c r="H13" s="42"/>
      <c r="I13" s="42">
        <v>0</v>
      </c>
      <c r="J13" s="42">
        <v>0</v>
      </c>
      <c r="K13" s="42">
        <f t="shared" si="3"/>
        <v>-316677.9</v>
      </c>
      <c r="L13" s="42">
        <f t="shared" si="4"/>
        <v>0</v>
      </c>
      <c r="M13" s="42">
        <f t="shared" si="5"/>
        <v>0</v>
      </c>
      <c r="N13" s="42">
        <f t="shared" si="6"/>
        <v>0</v>
      </c>
      <c r="O13" s="24">
        <f t="shared" si="0"/>
        <v>0</v>
      </c>
      <c r="P13" s="24">
        <f t="shared" si="1"/>
      </c>
      <c r="Q13" s="24">
        <f t="shared" si="2"/>
      </c>
      <c r="W13" s="35"/>
    </row>
    <row r="14" spans="1:23" ht="15.75">
      <c r="A14" s="134"/>
      <c r="B14" s="62" t="s">
        <v>21</v>
      </c>
      <c r="C14" s="68" t="s">
        <v>24</v>
      </c>
      <c r="D14" s="2" t="s">
        <v>25</v>
      </c>
      <c r="E14" s="56">
        <v>969266.03</v>
      </c>
      <c r="F14" s="42">
        <v>2237196.9</v>
      </c>
      <c r="G14" s="42">
        <v>967800</v>
      </c>
      <c r="H14" s="42">
        <v>7000</v>
      </c>
      <c r="I14" s="42">
        <v>932073.45</v>
      </c>
      <c r="J14" s="42">
        <v>10223.300000000001</v>
      </c>
      <c r="K14" s="42">
        <f t="shared" si="3"/>
        <v>-37192.580000000075</v>
      </c>
      <c r="L14" s="42">
        <f t="shared" si="4"/>
        <v>-35726.55000000005</v>
      </c>
      <c r="M14" s="42">
        <f t="shared" si="5"/>
        <v>-1305123.45</v>
      </c>
      <c r="N14" s="42">
        <f t="shared" si="6"/>
        <v>3223.300000000001</v>
      </c>
      <c r="O14" s="24">
        <f t="shared" si="0"/>
        <v>0.9616280991504468</v>
      </c>
      <c r="P14" s="24">
        <f t="shared" si="1"/>
        <v>0.9630847799132052</v>
      </c>
      <c r="Q14" s="24">
        <f t="shared" si="2"/>
        <v>0.4166255773016671</v>
      </c>
      <c r="W14" s="35"/>
    </row>
    <row r="15" spans="1:23" ht="15.75">
      <c r="A15" s="134"/>
      <c r="B15" s="62" t="s">
        <v>26</v>
      </c>
      <c r="C15" s="68" t="s">
        <v>27</v>
      </c>
      <c r="D15" s="2" t="s">
        <v>28</v>
      </c>
      <c r="E15" s="56">
        <v>95099.07</v>
      </c>
      <c r="F15" s="42">
        <v>228385.6</v>
      </c>
      <c r="G15" s="42">
        <v>107470.6</v>
      </c>
      <c r="H15" s="42">
        <v>19325.6</v>
      </c>
      <c r="I15" s="42">
        <v>87188.64</v>
      </c>
      <c r="J15" s="42">
        <v>9406.4</v>
      </c>
      <c r="K15" s="42">
        <f t="shared" si="3"/>
        <v>-7910.430000000008</v>
      </c>
      <c r="L15" s="42">
        <f t="shared" si="4"/>
        <v>-20281.960000000006</v>
      </c>
      <c r="M15" s="42">
        <f t="shared" si="5"/>
        <v>-141196.96000000002</v>
      </c>
      <c r="N15" s="42">
        <f t="shared" si="6"/>
        <v>-9919.199999999999</v>
      </c>
      <c r="O15" s="24">
        <f t="shared" si="0"/>
        <v>0.9168190603756692</v>
      </c>
      <c r="P15" s="24">
        <f t="shared" si="1"/>
        <v>0.8112789916498093</v>
      </c>
      <c r="Q15" s="24">
        <f t="shared" si="2"/>
        <v>0.3817606714258692</v>
      </c>
      <c r="R15" s="66"/>
      <c r="W15" s="35"/>
    </row>
    <row r="16" spans="1:23" ht="15.75">
      <c r="A16" s="134"/>
      <c r="B16" s="62" t="s">
        <v>21</v>
      </c>
      <c r="C16" s="68" t="s">
        <v>29</v>
      </c>
      <c r="D16" s="2" t="s">
        <v>30</v>
      </c>
      <c r="E16" s="56">
        <v>18.06</v>
      </c>
      <c r="F16" s="42"/>
      <c r="G16" s="42"/>
      <c r="H16" s="42"/>
      <c r="I16" s="42">
        <v>-0.1</v>
      </c>
      <c r="J16" s="42">
        <v>0</v>
      </c>
      <c r="K16" s="42">
        <f t="shared" si="3"/>
        <v>-18.16</v>
      </c>
      <c r="L16" s="42">
        <f t="shared" si="4"/>
        <v>-0.1</v>
      </c>
      <c r="M16" s="42">
        <f t="shared" si="5"/>
        <v>-0.1</v>
      </c>
      <c r="N16" s="42">
        <f t="shared" si="6"/>
        <v>0</v>
      </c>
      <c r="O16" s="24">
        <f t="shared" si="0"/>
        <v>-0.005537098560354375</v>
      </c>
      <c r="P16" s="24">
        <f t="shared" si="1"/>
      </c>
      <c r="Q16" s="24">
        <f t="shared" si="2"/>
      </c>
      <c r="R16" s="66"/>
      <c r="W16" s="35"/>
    </row>
    <row r="17" spans="1:23" ht="15.75">
      <c r="A17" s="135"/>
      <c r="B17" s="85"/>
      <c r="C17" s="86"/>
      <c r="D17" s="87" t="s">
        <v>11</v>
      </c>
      <c r="E17" s="60">
        <f>SUM(E6:E16)</f>
        <v>6582549.640000001</v>
      </c>
      <c r="F17" s="60">
        <f>SUM(F6:F16)</f>
        <v>20001705.400000002</v>
      </c>
      <c r="G17" s="60">
        <f>SUM(G6:G16)</f>
        <v>7773427.000000001</v>
      </c>
      <c r="H17" s="60">
        <f>SUM(H6:H16)</f>
        <v>1171681.0000000002</v>
      </c>
      <c r="I17" s="60">
        <f>SUM(I6:I16)</f>
        <v>5970874.230000001</v>
      </c>
      <c r="J17" s="60">
        <f>SUM(J6:J16)</f>
        <v>81507.64</v>
      </c>
      <c r="K17" s="60">
        <f>SUM(K6:K16)</f>
        <v>-611675.4100000005</v>
      </c>
      <c r="L17" s="60">
        <f t="shared" si="4"/>
        <v>-1802552.7699999996</v>
      </c>
      <c r="M17" s="60">
        <f t="shared" si="5"/>
        <v>-14030831.170000002</v>
      </c>
      <c r="N17" s="60">
        <f>J17-H17</f>
        <v>-1090173.3600000003</v>
      </c>
      <c r="O17" s="88">
        <f t="shared" si="0"/>
        <v>0.9070762176584211</v>
      </c>
      <c r="P17" s="88">
        <f t="shared" si="1"/>
        <v>0.7681135012910009</v>
      </c>
      <c r="Q17" s="88">
        <f t="shared" si="2"/>
        <v>0.2985182568482386</v>
      </c>
      <c r="R17" s="73"/>
      <c r="W17" s="35"/>
    </row>
    <row r="18" spans="1:23" ht="15.75">
      <c r="A18" s="63" t="s">
        <v>102</v>
      </c>
      <c r="B18" s="62" t="s">
        <v>32</v>
      </c>
      <c r="C18" s="68" t="s">
        <v>34</v>
      </c>
      <c r="D18" s="2" t="s">
        <v>35</v>
      </c>
      <c r="E18" s="56">
        <v>28</v>
      </c>
      <c r="F18" s="42">
        <v>140</v>
      </c>
      <c r="G18" s="42">
        <v>70</v>
      </c>
      <c r="H18" s="42">
        <v>15</v>
      </c>
      <c r="I18" s="42">
        <v>28</v>
      </c>
      <c r="J18" s="42">
        <v>0</v>
      </c>
      <c r="K18" s="42">
        <f t="shared" si="3"/>
        <v>0</v>
      </c>
      <c r="L18" s="42">
        <f t="shared" si="4"/>
        <v>-42</v>
      </c>
      <c r="M18" s="42">
        <f t="shared" si="5"/>
        <v>-112</v>
      </c>
      <c r="N18" s="42">
        <f t="shared" si="6"/>
        <v>-15</v>
      </c>
      <c r="O18" s="24">
        <f t="shared" si="0"/>
        <v>1</v>
      </c>
      <c r="P18" s="24">
        <f t="shared" si="1"/>
        <v>0.4</v>
      </c>
      <c r="Q18" s="24">
        <f t="shared" si="2"/>
        <v>0.2</v>
      </c>
      <c r="R18" s="66"/>
      <c r="W18" s="35"/>
    </row>
    <row r="19" spans="1:23" ht="19.5" customHeight="1">
      <c r="A19" s="63" t="s">
        <v>31</v>
      </c>
      <c r="B19" s="62" t="s">
        <v>32</v>
      </c>
      <c r="C19" s="68" t="s">
        <v>33</v>
      </c>
      <c r="D19" s="2" t="s">
        <v>142</v>
      </c>
      <c r="E19" s="56">
        <v>114.2</v>
      </c>
      <c r="F19" s="42"/>
      <c r="G19" s="42"/>
      <c r="H19" s="42"/>
      <c r="I19" s="42">
        <v>52.8</v>
      </c>
      <c r="J19" s="42">
        <v>0.8</v>
      </c>
      <c r="K19" s="42">
        <f t="shared" si="3"/>
        <v>-61.400000000000006</v>
      </c>
      <c r="L19" s="42">
        <f t="shared" si="4"/>
        <v>52.8</v>
      </c>
      <c r="M19" s="42">
        <f t="shared" si="5"/>
        <v>52.8</v>
      </c>
      <c r="N19" s="42">
        <f t="shared" si="6"/>
        <v>0.8</v>
      </c>
      <c r="O19" s="24">
        <f t="shared" si="0"/>
        <v>0.4623467600700525</v>
      </c>
      <c r="P19" s="24">
        <f t="shared" si="1"/>
      </c>
      <c r="Q19" s="24">
        <f t="shared" si="2"/>
      </c>
      <c r="R19" s="66"/>
      <c r="W19" s="35"/>
    </row>
    <row r="20" spans="1:23" ht="31.5">
      <c r="A20" s="64" t="s">
        <v>38</v>
      </c>
      <c r="B20" s="65" t="s">
        <v>104</v>
      </c>
      <c r="C20" s="68" t="s">
        <v>39</v>
      </c>
      <c r="D20" s="2" t="s">
        <v>40</v>
      </c>
      <c r="E20" s="56">
        <v>465.6</v>
      </c>
      <c r="F20" s="42">
        <v>969.6</v>
      </c>
      <c r="G20" s="42">
        <v>502</v>
      </c>
      <c r="H20" s="42">
        <v>80</v>
      </c>
      <c r="I20" s="42">
        <v>6.4</v>
      </c>
      <c r="J20" s="42">
        <v>0</v>
      </c>
      <c r="K20" s="42">
        <f t="shared" si="3"/>
        <v>-459.20000000000005</v>
      </c>
      <c r="L20" s="42">
        <f t="shared" si="4"/>
        <v>-495.6</v>
      </c>
      <c r="M20" s="42">
        <f t="shared" si="5"/>
        <v>-963.2</v>
      </c>
      <c r="N20" s="42">
        <f t="shared" si="6"/>
        <v>-80</v>
      </c>
      <c r="O20" s="24">
        <f t="shared" si="0"/>
        <v>0.013745704467353952</v>
      </c>
      <c r="P20" s="24">
        <f t="shared" si="1"/>
        <v>0.012749003984063745</v>
      </c>
      <c r="Q20" s="24">
        <f t="shared" si="2"/>
        <v>0.006600660066006601</v>
      </c>
      <c r="R20" s="66"/>
      <c r="W20" s="35"/>
    </row>
    <row r="21" spans="1:23" ht="15.75">
      <c r="A21" s="63" t="s">
        <v>36</v>
      </c>
      <c r="B21" s="62" t="s">
        <v>13</v>
      </c>
      <c r="C21" s="68" t="s">
        <v>37</v>
      </c>
      <c r="D21" s="2" t="s">
        <v>106</v>
      </c>
      <c r="E21" s="56">
        <v>30</v>
      </c>
      <c r="F21" s="42">
        <v>120</v>
      </c>
      <c r="G21" s="42">
        <v>40</v>
      </c>
      <c r="H21" s="42">
        <v>10</v>
      </c>
      <c r="I21" s="42">
        <v>35</v>
      </c>
      <c r="J21" s="42">
        <v>15</v>
      </c>
      <c r="K21" s="42">
        <f t="shared" si="3"/>
        <v>5</v>
      </c>
      <c r="L21" s="42">
        <f t="shared" si="4"/>
        <v>-5</v>
      </c>
      <c r="M21" s="42">
        <f t="shared" si="5"/>
        <v>-85</v>
      </c>
      <c r="N21" s="42">
        <f t="shared" si="6"/>
        <v>5</v>
      </c>
      <c r="O21" s="24">
        <f t="shared" si="0"/>
        <v>1.1666666666666667</v>
      </c>
      <c r="P21" s="24">
        <f t="shared" si="1"/>
        <v>0.875</v>
      </c>
      <c r="Q21" s="24">
        <f t="shared" si="2"/>
        <v>0.2916666666666667</v>
      </c>
      <c r="R21" s="66"/>
      <c r="W21" s="35"/>
    </row>
    <row r="22" spans="1:23" ht="27.75" customHeight="1">
      <c r="A22" s="139"/>
      <c r="B22" s="139"/>
      <c r="C22" s="140"/>
      <c r="D22" s="30" t="s">
        <v>41</v>
      </c>
      <c r="E22" s="53">
        <f>E26+E29+E37+E47+E49+E54+E57+E59+E68</f>
        <v>2569194.4900000007</v>
      </c>
      <c r="F22" s="84">
        <f>F26+F29+F37+F47+F49+F54+F57+F59+F68</f>
        <v>6567862.7299999995</v>
      </c>
      <c r="G22" s="84">
        <f>G26+G29+G37+G47+G49+G54+G57+G59+G68</f>
        <v>3172603.6100000003</v>
      </c>
      <c r="H22" s="84">
        <f>H26+H29+H37+H47+H49+H54+H57+H59+H68</f>
        <v>521837.0999999999</v>
      </c>
      <c r="I22" s="84">
        <f>I26+I29+I37+I47+I49+I54+I57+I59+I68</f>
        <v>3198906.33</v>
      </c>
      <c r="J22" s="84">
        <f>J26+J29+J37+J47+J49+J54+J57+J59+J68</f>
        <v>328132.24999999994</v>
      </c>
      <c r="K22" s="84">
        <f>K26+K29+K37+K47+K49+K54+K57+K59+K68</f>
        <v>611505.1699999997</v>
      </c>
      <c r="L22" s="84">
        <f t="shared" si="4"/>
        <v>26302.71999999974</v>
      </c>
      <c r="M22" s="84">
        <f t="shared" si="5"/>
        <v>-3368956.3999999994</v>
      </c>
      <c r="N22" s="84">
        <f t="shared" si="6"/>
        <v>-193704.84999999998</v>
      </c>
      <c r="O22" s="29">
        <f t="shared" si="0"/>
        <v>1.2451008837404127</v>
      </c>
      <c r="P22" s="29">
        <f t="shared" si="1"/>
        <v>1.0082905787275454</v>
      </c>
      <c r="Q22" s="29">
        <f t="shared" si="2"/>
        <v>0.487054383062601</v>
      </c>
      <c r="R22" s="77"/>
      <c r="V22" s="3"/>
      <c r="W22" s="35"/>
    </row>
    <row r="23" spans="1:18" ht="15.75">
      <c r="A23" s="131" t="s">
        <v>38</v>
      </c>
      <c r="B23" s="132" t="s">
        <v>104</v>
      </c>
      <c r="C23" s="70" t="s">
        <v>72</v>
      </c>
      <c r="D23" s="4" t="s">
        <v>144</v>
      </c>
      <c r="E23" s="58">
        <v>49952.15</v>
      </c>
      <c r="F23" s="44">
        <f>135475.5+25225.6</f>
        <v>160701.1</v>
      </c>
      <c r="G23" s="44">
        <v>74050</v>
      </c>
      <c r="H23" s="44">
        <v>13600</v>
      </c>
      <c r="I23" s="44">
        <v>71395.57</v>
      </c>
      <c r="J23" s="44">
        <v>7388.969999999999</v>
      </c>
      <c r="K23" s="44">
        <f t="shared" si="3"/>
        <v>21443.420000000006</v>
      </c>
      <c r="L23" s="44">
        <f t="shared" si="4"/>
        <v>-2654.429999999993</v>
      </c>
      <c r="M23" s="44">
        <f t="shared" si="5"/>
        <v>-89305.53</v>
      </c>
      <c r="N23" s="44">
        <f t="shared" si="6"/>
        <v>-6211.030000000001</v>
      </c>
      <c r="O23" s="25">
        <f t="shared" si="0"/>
        <v>1.4292792202137448</v>
      </c>
      <c r="P23" s="25">
        <f t="shared" si="1"/>
        <v>0.9641535449020933</v>
      </c>
      <c r="Q23" s="25">
        <f t="shared" si="2"/>
        <v>0.4442755525631125</v>
      </c>
      <c r="R23" s="71"/>
    </row>
    <row r="24" spans="1:18" ht="15.75">
      <c r="A24" s="134"/>
      <c r="B24" s="136"/>
      <c r="C24" s="68" t="s">
        <v>42</v>
      </c>
      <c r="D24" s="4" t="s">
        <v>43</v>
      </c>
      <c r="E24" s="47">
        <v>3971.23</v>
      </c>
      <c r="F24" s="42">
        <v>39519.1</v>
      </c>
      <c r="G24" s="42">
        <v>39519.1</v>
      </c>
      <c r="H24" s="42">
        <v>0</v>
      </c>
      <c r="I24" s="42">
        <v>39519.14</v>
      </c>
      <c r="J24" s="42">
        <v>0</v>
      </c>
      <c r="K24" s="42">
        <f t="shared" si="3"/>
        <v>35547.909999999996</v>
      </c>
      <c r="L24" s="42">
        <f t="shared" si="4"/>
        <v>0.040000000000873115</v>
      </c>
      <c r="M24" s="42">
        <f t="shared" si="5"/>
        <v>0.040000000000873115</v>
      </c>
      <c r="N24" s="42">
        <f t="shared" si="6"/>
        <v>0</v>
      </c>
      <c r="O24" s="25">
        <f t="shared" si="0"/>
        <v>9.951360157935953</v>
      </c>
      <c r="P24" s="25">
        <f t="shared" si="1"/>
        <v>1.0000010121687994</v>
      </c>
      <c r="Q24" s="25">
        <f t="shared" si="2"/>
        <v>1.0000010121687994</v>
      </c>
      <c r="R24" s="71"/>
    </row>
    <row r="25" spans="1:18" ht="15.75">
      <c r="A25" s="134"/>
      <c r="B25" s="136"/>
      <c r="C25" s="68" t="s">
        <v>73</v>
      </c>
      <c r="D25" s="4" t="s">
        <v>74</v>
      </c>
      <c r="E25" s="47">
        <v>34912.799999999996</v>
      </c>
      <c r="F25" s="44">
        <f>110819.4+14383.9-8662.9</f>
        <v>116540.4</v>
      </c>
      <c r="G25" s="44">
        <v>48150</v>
      </c>
      <c r="H25" s="44">
        <v>8450</v>
      </c>
      <c r="I25" s="44">
        <v>49592.86</v>
      </c>
      <c r="J25" s="44">
        <v>5501.389999999999</v>
      </c>
      <c r="K25" s="44">
        <f t="shared" si="3"/>
        <v>14680.060000000005</v>
      </c>
      <c r="L25" s="44">
        <f t="shared" si="4"/>
        <v>1442.8600000000006</v>
      </c>
      <c r="M25" s="44">
        <f t="shared" si="5"/>
        <v>-66947.54</v>
      </c>
      <c r="N25" s="44">
        <f t="shared" si="6"/>
        <v>-2948.6100000000006</v>
      </c>
      <c r="O25" s="25">
        <f t="shared" si="0"/>
        <v>1.4204778763089756</v>
      </c>
      <c r="P25" s="25">
        <f t="shared" si="1"/>
        <v>1.0299659397715473</v>
      </c>
      <c r="Q25" s="25">
        <f t="shared" si="2"/>
        <v>0.4255422154034138</v>
      </c>
      <c r="R25" s="71"/>
    </row>
    <row r="26" spans="1:18" ht="15.75">
      <c r="A26" s="135"/>
      <c r="B26" s="137"/>
      <c r="C26" s="86"/>
      <c r="D26" s="87" t="s">
        <v>11</v>
      </c>
      <c r="E26" s="60">
        <f aca="true" t="shared" si="7" ref="E26:L26">SUM(E23:E25)</f>
        <v>88836.18</v>
      </c>
      <c r="F26" s="60">
        <f t="shared" si="7"/>
        <v>316760.6</v>
      </c>
      <c r="G26" s="60">
        <f t="shared" si="7"/>
        <v>161719.1</v>
      </c>
      <c r="H26" s="60">
        <f t="shared" si="7"/>
        <v>22050</v>
      </c>
      <c r="I26" s="60">
        <f t="shared" si="7"/>
        <v>160507.57</v>
      </c>
      <c r="J26" s="60">
        <f t="shared" si="7"/>
        <v>12890.359999999999</v>
      </c>
      <c r="K26" s="60">
        <f t="shared" si="7"/>
        <v>71671.39000000001</v>
      </c>
      <c r="L26" s="60">
        <f t="shared" si="7"/>
        <v>-1211.5299999999916</v>
      </c>
      <c r="M26" s="60">
        <f t="shared" si="5"/>
        <v>-156253.02999999997</v>
      </c>
      <c r="N26" s="60">
        <f t="shared" si="6"/>
        <v>-9159.640000000001</v>
      </c>
      <c r="O26" s="89">
        <f t="shared" si="0"/>
        <v>1.80678153878296</v>
      </c>
      <c r="P26" s="89">
        <f t="shared" si="1"/>
        <v>0.99250842974021</v>
      </c>
      <c r="Q26" s="89">
        <f t="shared" si="2"/>
        <v>0.5067157026473621</v>
      </c>
      <c r="R26" s="73"/>
    </row>
    <row r="27" spans="1:18" ht="15.75">
      <c r="A27" s="102">
        <v>951</v>
      </c>
      <c r="B27" s="102" t="s">
        <v>13</v>
      </c>
      <c r="C27" s="70" t="s">
        <v>118</v>
      </c>
      <c r="D27" s="5" t="s">
        <v>45</v>
      </c>
      <c r="E27" s="58">
        <v>35230.83</v>
      </c>
      <c r="F27" s="42">
        <v>91712.1</v>
      </c>
      <c r="G27" s="42">
        <v>41823</v>
      </c>
      <c r="H27" s="42">
        <v>11120</v>
      </c>
      <c r="I27" s="42">
        <v>48381.13</v>
      </c>
      <c r="J27" s="42">
        <v>11951.37</v>
      </c>
      <c r="K27" s="42">
        <f t="shared" si="3"/>
        <v>13150.299999999996</v>
      </c>
      <c r="L27" s="42">
        <f t="shared" si="4"/>
        <v>6558.129999999997</v>
      </c>
      <c r="M27" s="42">
        <f t="shared" si="5"/>
        <v>-43330.97000000001</v>
      </c>
      <c r="N27" s="42">
        <f t="shared" si="6"/>
        <v>831.3700000000008</v>
      </c>
      <c r="O27" s="25">
        <f t="shared" si="0"/>
        <v>1.3732611465582842</v>
      </c>
      <c r="P27" s="25">
        <f t="shared" si="1"/>
        <v>1.1568067809578462</v>
      </c>
      <c r="Q27" s="25">
        <f t="shared" si="2"/>
        <v>0.5275326810747981</v>
      </c>
      <c r="R27" s="66"/>
    </row>
    <row r="28" spans="1:18" ht="15.75">
      <c r="A28" s="102"/>
      <c r="B28" s="102"/>
      <c r="C28" s="68" t="s">
        <v>117</v>
      </c>
      <c r="D28" s="4" t="s">
        <v>47</v>
      </c>
      <c r="E28" s="58">
        <v>3664.1</v>
      </c>
      <c r="F28" s="42">
        <v>14224.9</v>
      </c>
      <c r="G28" s="42">
        <v>2909.6000000000004</v>
      </c>
      <c r="H28" s="42">
        <v>287.5</v>
      </c>
      <c r="I28" s="42">
        <v>4537.73</v>
      </c>
      <c r="J28" s="42">
        <v>663.23</v>
      </c>
      <c r="K28" s="42">
        <f t="shared" si="3"/>
        <v>873.6299999999997</v>
      </c>
      <c r="L28" s="42">
        <f t="shared" si="4"/>
        <v>1628.1299999999992</v>
      </c>
      <c r="M28" s="42">
        <f t="shared" si="5"/>
        <v>-9687.17</v>
      </c>
      <c r="N28" s="42">
        <f t="shared" si="6"/>
        <v>375.73</v>
      </c>
      <c r="O28" s="25">
        <f t="shared" si="0"/>
        <v>1.238429628012336</v>
      </c>
      <c r="P28" s="25">
        <f t="shared" si="1"/>
        <v>1.5595717624415724</v>
      </c>
      <c r="Q28" s="25">
        <f t="shared" si="2"/>
        <v>0.31899907907964203</v>
      </c>
      <c r="R28" s="66"/>
    </row>
    <row r="29" spans="1:18" ht="15.75">
      <c r="A29" s="102"/>
      <c r="B29" s="102"/>
      <c r="C29" s="86"/>
      <c r="D29" s="90" t="s">
        <v>11</v>
      </c>
      <c r="E29" s="60">
        <f>E27+E28</f>
        <v>38894.93</v>
      </c>
      <c r="F29" s="60">
        <f>F27+F28</f>
        <v>105937</v>
      </c>
      <c r="G29" s="60">
        <f>G27+G28</f>
        <v>44732.6</v>
      </c>
      <c r="H29" s="60">
        <f>H27+H28</f>
        <v>11407.5</v>
      </c>
      <c r="I29" s="60">
        <f>I27+I28</f>
        <v>52918.86</v>
      </c>
      <c r="J29" s="60">
        <f>J27+J28</f>
        <v>12614.6</v>
      </c>
      <c r="K29" s="60">
        <f>K27+K28</f>
        <v>14023.929999999995</v>
      </c>
      <c r="L29" s="60">
        <f t="shared" si="4"/>
        <v>8186.260000000002</v>
      </c>
      <c r="M29" s="60">
        <f t="shared" si="5"/>
        <v>-53018.14</v>
      </c>
      <c r="N29" s="60">
        <f t="shared" si="6"/>
        <v>1207.1000000000004</v>
      </c>
      <c r="O29" s="89">
        <f t="shared" si="0"/>
        <v>1.3605593325402565</v>
      </c>
      <c r="P29" s="89">
        <f t="shared" si="1"/>
        <v>1.1830043413528388</v>
      </c>
      <c r="Q29" s="89">
        <f t="shared" si="2"/>
        <v>0.4995314196173197</v>
      </c>
      <c r="R29" s="73"/>
    </row>
    <row r="30" spans="1:18" ht="15.75">
      <c r="A30" s="125" t="s">
        <v>48</v>
      </c>
      <c r="B30" s="102" t="s">
        <v>49</v>
      </c>
      <c r="C30" s="68" t="s">
        <v>50</v>
      </c>
      <c r="D30" s="4" t="s">
        <v>51</v>
      </c>
      <c r="E30" s="47"/>
      <c r="F30" s="43">
        <v>496</v>
      </c>
      <c r="G30" s="43">
        <f>H30</f>
        <v>0</v>
      </c>
      <c r="H30" s="43">
        <v>0</v>
      </c>
      <c r="I30" s="43">
        <v>0</v>
      </c>
      <c r="J30" s="43">
        <v>0</v>
      </c>
      <c r="K30" s="43">
        <f t="shared" si="3"/>
        <v>0</v>
      </c>
      <c r="L30" s="43">
        <f t="shared" si="4"/>
        <v>0</v>
      </c>
      <c r="M30" s="43">
        <f t="shared" si="5"/>
        <v>-496</v>
      </c>
      <c r="N30" s="43">
        <f t="shared" si="6"/>
        <v>0</v>
      </c>
      <c r="O30" s="25">
        <f t="shared" si="0"/>
      </c>
      <c r="P30" s="25">
        <f t="shared" si="1"/>
      </c>
      <c r="Q30" s="25">
        <f t="shared" si="2"/>
        <v>0</v>
      </c>
      <c r="R30" s="66"/>
    </row>
    <row r="31" spans="1:18" ht="15.75">
      <c r="A31" s="125"/>
      <c r="B31" s="102"/>
      <c r="C31" s="68" t="s">
        <v>52</v>
      </c>
      <c r="D31" s="6" t="s">
        <v>53</v>
      </c>
      <c r="E31" s="47">
        <v>28207.48</v>
      </c>
      <c r="F31" s="43">
        <v>100081.7</v>
      </c>
      <c r="G31" s="43">
        <v>47000</v>
      </c>
      <c r="H31" s="43">
        <v>9000</v>
      </c>
      <c r="I31" s="43">
        <v>38066.09</v>
      </c>
      <c r="J31" s="43">
        <v>1363.42</v>
      </c>
      <c r="K31" s="43">
        <f t="shared" si="3"/>
        <v>9858.609999999997</v>
      </c>
      <c r="L31" s="43">
        <f t="shared" si="4"/>
        <v>-8933.910000000003</v>
      </c>
      <c r="M31" s="43">
        <f t="shared" si="5"/>
        <v>-62015.61</v>
      </c>
      <c r="N31" s="43">
        <f t="shared" si="6"/>
        <v>-7636.58</v>
      </c>
      <c r="O31" s="25">
        <f t="shared" si="0"/>
        <v>1.3495033941351726</v>
      </c>
      <c r="P31" s="25">
        <f t="shared" si="1"/>
        <v>0.8099168085106382</v>
      </c>
      <c r="Q31" s="25">
        <f t="shared" si="2"/>
        <v>0.3803501539242439</v>
      </c>
      <c r="R31" s="66"/>
    </row>
    <row r="32" spans="1:18" ht="15.75">
      <c r="A32" s="125"/>
      <c r="B32" s="102"/>
      <c r="C32" s="70" t="s">
        <v>44</v>
      </c>
      <c r="D32" s="5" t="s">
        <v>54</v>
      </c>
      <c r="E32" s="47">
        <v>1267.09</v>
      </c>
      <c r="F32" s="43">
        <v>557</v>
      </c>
      <c r="G32" s="43">
        <v>278.5</v>
      </c>
      <c r="H32" s="43">
        <v>46.5</v>
      </c>
      <c r="I32" s="43">
        <v>4219.31</v>
      </c>
      <c r="J32" s="43">
        <v>638.57</v>
      </c>
      <c r="K32" s="43">
        <f t="shared" si="3"/>
        <v>2952.2200000000003</v>
      </c>
      <c r="L32" s="43">
        <f t="shared" si="4"/>
        <v>3940.8100000000004</v>
      </c>
      <c r="M32" s="43">
        <f t="shared" si="5"/>
        <v>3662.3100000000004</v>
      </c>
      <c r="N32" s="43">
        <f t="shared" si="6"/>
        <v>592.07</v>
      </c>
      <c r="O32" s="25">
        <f t="shared" si="0"/>
        <v>3.3299213157707825</v>
      </c>
      <c r="P32" s="25">
        <f t="shared" si="1"/>
        <v>15.150125673249553</v>
      </c>
      <c r="Q32" s="25">
        <f t="shared" si="2"/>
        <v>7.5750628366247765</v>
      </c>
      <c r="R32" s="66"/>
    </row>
    <row r="33" spans="1:18" ht="15.75">
      <c r="A33" s="125"/>
      <c r="B33" s="102"/>
      <c r="C33" s="70" t="s">
        <v>55</v>
      </c>
      <c r="D33" s="5" t="s">
        <v>56</v>
      </c>
      <c r="E33" s="42">
        <f aca="true" t="shared" si="8" ref="E33:J33">E34+E36+E35</f>
        <v>30622.37</v>
      </c>
      <c r="F33" s="45">
        <f t="shared" si="8"/>
        <v>200264</v>
      </c>
      <c r="G33" s="45">
        <f t="shared" si="8"/>
        <v>155084.4</v>
      </c>
      <c r="H33" s="45">
        <f t="shared" si="8"/>
        <v>9353.7</v>
      </c>
      <c r="I33" s="45">
        <f t="shared" si="8"/>
        <v>154719.10999999996</v>
      </c>
      <c r="J33" s="45">
        <f t="shared" si="8"/>
        <v>5583.129999999999</v>
      </c>
      <c r="K33" s="45">
        <f t="shared" si="3"/>
        <v>124096.73999999996</v>
      </c>
      <c r="L33" s="45">
        <f t="shared" si="4"/>
        <v>-365.29000000003725</v>
      </c>
      <c r="M33" s="45">
        <f t="shared" si="5"/>
        <v>-45544.89000000004</v>
      </c>
      <c r="N33" s="45">
        <f t="shared" si="6"/>
        <v>-3770.5700000000015</v>
      </c>
      <c r="O33" s="25">
        <f t="shared" si="0"/>
        <v>5.052486466592885</v>
      </c>
      <c r="P33" s="25">
        <f t="shared" si="1"/>
        <v>0.9976445728906322</v>
      </c>
      <c r="Q33" s="25">
        <f t="shared" si="2"/>
        <v>0.7725757500099866</v>
      </c>
      <c r="R33" s="66"/>
    </row>
    <row r="34" spans="1:18" ht="15.75">
      <c r="A34" s="125"/>
      <c r="B34" s="102"/>
      <c r="C34" s="72" t="s">
        <v>120</v>
      </c>
      <c r="D34" s="7" t="s">
        <v>57</v>
      </c>
      <c r="E34" s="59">
        <v>13610.88</v>
      </c>
      <c r="F34" s="46">
        <f>48594.6+85630.3+29092.9</f>
        <v>163317.8</v>
      </c>
      <c r="G34" s="46">
        <v>137357.7</v>
      </c>
      <c r="H34" s="46">
        <v>5011.1</v>
      </c>
      <c r="I34" s="46">
        <v>134396.61</v>
      </c>
      <c r="J34" s="46">
        <v>3394.62</v>
      </c>
      <c r="K34" s="46">
        <f t="shared" si="3"/>
        <v>120785.72999999998</v>
      </c>
      <c r="L34" s="46">
        <f t="shared" si="4"/>
        <v>-2961.0900000000256</v>
      </c>
      <c r="M34" s="46">
        <f t="shared" si="5"/>
        <v>-28921.190000000002</v>
      </c>
      <c r="N34" s="46">
        <f t="shared" si="6"/>
        <v>-1616.4800000000005</v>
      </c>
      <c r="O34" s="25">
        <f t="shared" si="0"/>
        <v>9.874204313020172</v>
      </c>
      <c r="P34" s="25">
        <f t="shared" si="1"/>
        <v>0.9784424899368581</v>
      </c>
      <c r="Q34" s="25">
        <f t="shared" si="2"/>
        <v>0.8229146486176032</v>
      </c>
      <c r="R34" s="73"/>
    </row>
    <row r="35" spans="1:18" ht="15.75">
      <c r="A35" s="125"/>
      <c r="B35" s="102"/>
      <c r="C35" s="72" t="s">
        <v>121</v>
      </c>
      <c r="D35" s="7" t="s">
        <v>58</v>
      </c>
      <c r="E35" s="59">
        <v>1307.34</v>
      </c>
      <c r="F35" s="46">
        <v>1867.8</v>
      </c>
      <c r="G35" s="46">
        <v>160.3</v>
      </c>
      <c r="H35" s="46">
        <v>0</v>
      </c>
      <c r="I35" s="46">
        <v>918.33</v>
      </c>
      <c r="J35" s="46">
        <v>25</v>
      </c>
      <c r="K35" s="46">
        <f t="shared" si="3"/>
        <v>-389.0099999999999</v>
      </c>
      <c r="L35" s="46">
        <f t="shared" si="4"/>
        <v>758.03</v>
      </c>
      <c r="M35" s="46">
        <f t="shared" si="5"/>
        <v>-949.4699999999999</v>
      </c>
      <c r="N35" s="46">
        <f t="shared" si="6"/>
        <v>25</v>
      </c>
      <c r="O35" s="25">
        <f t="shared" si="0"/>
        <v>0.7024415989719583</v>
      </c>
      <c r="P35" s="25">
        <f t="shared" si="1"/>
        <v>5.72882096069869</v>
      </c>
      <c r="Q35" s="25">
        <f t="shared" si="2"/>
        <v>0.4916639897205269</v>
      </c>
      <c r="R35" s="73"/>
    </row>
    <row r="36" spans="1:18" ht="15.75">
      <c r="A36" s="125"/>
      <c r="B36" s="102"/>
      <c r="C36" s="72" t="s">
        <v>119</v>
      </c>
      <c r="D36" s="7" t="s">
        <v>59</v>
      </c>
      <c r="E36" s="60">
        <v>15704.15</v>
      </c>
      <c r="F36" s="46">
        <f>35078.4+85630.3-85630.3</f>
        <v>35078.40000000001</v>
      </c>
      <c r="G36" s="46">
        <v>17566.4</v>
      </c>
      <c r="H36" s="46">
        <v>4342.6</v>
      </c>
      <c r="I36" s="46">
        <v>19404.17</v>
      </c>
      <c r="J36" s="46">
        <v>2163.5099999999998</v>
      </c>
      <c r="K36" s="46">
        <f t="shared" si="3"/>
        <v>3700.0199999999986</v>
      </c>
      <c r="L36" s="46">
        <f t="shared" si="4"/>
        <v>1837.7699999999968</v>
      </c>
      <c r="M36" s="46">
        <f t="shared" si="5"/>
        <v>-15674.23000000001</v>
      </c>
      <c r="N36" s="46">
        <f t="shared" si="6"/>
        <v>-2179.0900000000006</v>
      </c>
      <c r="O36" s="25">
        <f t="shared" si="0"/>
        <v>1.2356077852032743</v>
      </c>
      <c r="P36" s="25">
        <f t="shared" si="1"/>
        <v>1.1046184761818014</v>
      </c>
      <c r="Q36" s="25">
        <f t="shared" si="2"/>
        <v>0.5531657658274036</v>
      </c>
      <c r="R36" s="73"/>
    </row>
    <row r="37" spans="1:18" ht="15.75">
      <c r="A37" s="125"/>
      <c r="B37" s="125"/>
      <c r="C37" s="86"/>
      <c r="D37" s="90" t="s">
        <v>11</v>
      </c>
      <c r="E37" s="60">
        <f>SUM(E30:E33)</f>
        <v>60096.94</v>
      </c>
      <c r="F37" s="60">
        <f>SUM(F30:F33)</f>
        <v>301398.7</v>
      </c>
      <c r="G37" s="60">
        <f>SUM(G30:G33)</f>
        <v>202362.9</v>
      </c>
      <c r="H37" s="60">
        <f>SUM(H30:H33)</f>
        <v>18400.2</v>
      </c>
      <c r="I37" s="60">
        <f>SUM(I30:I33)</f>
        <v>197004.50999999995</v>
      </c>
      <c r="J37" s="60">
        <f>SUM(J30:J33)</f>
        <v>7585.119999999999</v>
      </c>
      <c r="K37" s="60">
        <f>SUM(K30:K33)</f>
        <v>136907.56999999995</v>
      </c>
      <c r="L37" s="60">
        <f t="shared" si="4"/>
        <v>-5358.390000000043</v>
      </c>
      <c r="M37" s="60">
        <f t="shared" si="5"/>
        <v>-104394.19000000006</v>
      </c>
      <c r="N37" s="60">
        <f t="shared" si="6"/>
        <v>-10815.080000000002</v>
      </c>
      <c r="O37" s="89">
        <f aca="true" t="shared" si="9" ref="O37:O63">_xlfn.IFERROR(I37/E37,"")</f>
        <v>3.2781121634479216</v>
      </c>
      <c r="P37" s="89">
        <f aca="true" t="shared" si="10" ref="P37:P63">_xlfn.IFERROR(I37/G37,"")</f>
        <v>0.9735208874749273</v>
      </c>
      <c r="Q37" s="89">
        <f aca="true" t="shared" si="11" ref="Q37:Q63">_xlfn.IFERROR(I37/F37,"")</f>
        <v>0.6536342392983113</v>
      </c>
      <c r="R37" s="73"/>
    </row>
    <row r="38" spans="1:18" ht="31.5">
      <c r="A38" s="125" t="s">
        <v>103</v>
      </c>
      <c r="B38" s="102" t="s">
        <v>21</v>
      </c>
      <c r="C38" s="70" t="s">
        <v>131</v>
      </c>
      <c r="D38" s="5" t="s">
        <v>61</v>
      </c>
      <c r="E38" s="58">
        <v>159256.14</v>
      </c>
      <c r="F38" s="45">
        <v>326627.4</v>
      </c>
      <c r="G38" s="45">
        <v>157000.5</v>
      </c>
      <c r="H38" s="45">
        <v>34800</v>
      </c>
      <c r="I38" s="45">
        <v>152458.25</v>
      </c>
      <c r="J38" s="45">
        <v>43384.159999999996</v>
      </c>
      <c r="K38" s="45">
        <f t="shared" si="3"/>
        <v>-6797.890000000014</v>
      </c>
      <c r="L38" s="45">
        <f t="shared" si="4"/>
        <v>-4542.25</v>
      </c>
      <c r="M38" s="45">
        <f t="shared" si="5"/>
        <v>-174169.15000000002</v>
      </c>
      <c r="N38" s="45">
        <f t="shared" si="6"/>
        <v>8584.159999999996</v>
      </c>
      <c r="O38" s="25">
        <f t="shared" si="9"/>
        <v>0.9573147383830852</v>
      </c>
      <c r="P38" s="25">
        <f t="shared" si="10"/>
        <v>0.9710685634759125</v>
      </c>
      <c r="Q38" s="25">
        <f t="shared" si="11"/>
        <v>0.4667650356338751</v>
      </c>
      <c r="R38" s="66"/>
    </row>
    <row r="39" spans="1:18" ht="15.75">
      <c r="A39" s="125"/>
      <c r="B39" s="102"/>
      <c r="C39" s="70" t="s">
        <v>129</v>
      </c>
      <c r="D39" s="5" t="s">
        <v>62</v>
      </c>
      <c r="E39" s="58">
        <v>39874.329999999994</v>
      </c>
      <c r="F39" s="45">
        <f>245061.4+9204.6</f>
        <v>254266</v>
      </c>
      <c r="G39" s="45">
        <v>110504.6</v>
      </c>
      <c r="H39" s="45">
        <v>23400</v>
      </c>
      <c r="I39" s="45">
        <v>156344.28</v>
      </c>
      <c r="J39" s="45">
        <v>6097.63</v>
      </c>
      <c r="K39" s="45">
        <f t="shared" si="3"/>
        <v>116469.95000000001</v>
      </c>
      <c r="L39" s="45">
        <f t="shared" si="4"/>
        <v>45839.67999999999</v>
      </c>
      <c r="M39" s="45">
        <f t="shared" si="5"/>
        <v>-97921.72</v>
      </c>
      <c r="N39" s="45">
        <f t="shared" si="6"/>
        <v>-17302.37</v>
      </c>
      <c r="O39" s="25">
        <f t="shared" si="9"/>
        <v>3.9209255679029598</v>
      </c>
      <c r="P39" s="25">
        <f t="shared" si="10"/>
        <v>1.414821464445824</v>
      </c>
      <c r="Q39" s="25">
        <f t="shared" si="11"/>
        <v>0.6148847270181621</v>
      </c>
      <c r="R39" s="66"/>
    </row>
    <row r="40" spans="1:18" ht="31.5">
      <c r="A40" s="125"/>
      <c r="B40" s="102"/>
      <c r="C40" s="68" t="s">
        <v>134</v>
      </c>
      <c r="D40" s="4" t="s">
        <v>63</v>
      </c>
      <c r="E40" s="58">
        <v>27395.8</v>
      </c>
      <c r="F40" s="42">
        <f>48566.2-5534.78</f>
        <v>43031.42</v>
      </c>
      <c r="G40" s="42">
        <v>20526</v>
      </c>
      <c r="H40" s="42">
        <v>5416</v>
      </c>
      <c r="I40" s="42">
        <v>23302.75</v>
      </c>
      <c r="J40" s="42">
        <v>9138.98</v>
      </c>
      <c r="K40" s="42">
        <f t="shared" si="3"/>
        <v>-4093.0499999999993</v>
      </c>
      <c r="L40" s="42">
        <f t="shared" si="4"/>
        <v>2776.75</v>
      </c>
      <c r="M40" s="42">
        <f t="shared" si="5"/>
        <v>-19728.67</v>
      </c>
      <c r="N40" s="42">
        <f t="shared" si="6"/>
        <v>3722.9799999999996</v>
      </c>
      <c r="O40" s="25">
        <f t="shared" si="9"/>
        <v>0.8505957117514363</v>
      </c>
      <c r="P40" s="25">
        <f t="shared" si="10"/>
        <v>1.1352796453278768</v>
      </c>
      <c r="Q40" s="25">
        <f t="shared" si="11"/>
        <v>0.5415287248247909</v>
      </c>
      <c r="R40" s="66"/>
    </row>
    <row r="41" spans="1:18" ht="31.5">
      <c r="A41" s="126"/>
      <c r="B41" s="103"/>
      <c r="C41" s="74" t="s">
        <v>108</v>
      </c>
      <c r="D41" s="8" t="s">
        <v>109</v>
      </c>
      <c r="E41" s="58">
        <v>1496.4</v>
      </c>
      <c r="F41" s="42">
        <v>2948.3</v>
      </c>
      <c r="G41" s="42">
        <v>1689</v>
      </c>
      <c r="H41" s="42">
        <v>276.7</v>
      </c>
      <c r="I41" s="42">
        <v>1907.45</v>
      </c>
      <c r="J41" s="42">
        <v>106.36</v>
      </c>
      <c r="K41" s="42">
        <f t="shared" si="3"/>
        <v>411.04999999999995</v>
      </c>
      <c r="L41" s="42">
        <f t="shared" si="4"/>
        <v>218.45000000000005</v>
      </c>
      <c r="M41" s="42">
        <f t="shared" si="5"/>
        <v>-1040.8500000000001</v>
      </c>
      <c r="N41" s="42">
        <f t="shared" si="6"/>
        <v>-170.33999999999997</v>
      </c>
      <c r="O41" s="25">
        <f t="shared" si="9"/>
        <v>1.2746925955626838</v>
      </c>
      <c r="P41" s="25">
        <f t="shared" si="10"/>
        <v>1.1293368857312018</v>
      </c>
      <c r="Q41" s="25">
        <f t="shared" si="11"/>
        <v>0.6469660482311841</v>
      </c>
      <c r="R41" s="66"/>
    </row>
    <row r="42" spans="1:18" ht="15.75">
      <c r="A42" s="127"/>
      <c r="B42" s="129"/>
      <c r="C42" s="75" t="s">
        <v>154</v>
      </c>
      <c r="D42" s="9" t="s">
        <v>122</v>
      </c>
      <c r="E42" s="58">
        <v>64.59</v>
      </c>
      <c r="F42" s="42">
        <v>0</v>
      </c>
      <c r="G42" s="42">
        <v>0</v>
      </c>
      <c r="H42" s="42">
        <v>0</v>
      </c>
      <c r="I42" s="42">
        <v>150.34</v>
      </c>
      <c r="J42" s="42">
        <v>6.239999999999999</v>
      </c>
      <c r="K42" s="42">
        <f t="shared" si="3"/>
        <v>85.75</v>
      </c>
      <c r="L42" s="42">
        <f t="shared" si="4"/>
        <v>150.34</v>
      </c>
      <c r="M42" s="42">
        <f t="shared" si="5"/>
        <v>150.34</v>
      </c>
      <c r="N42" s="42">
        <f t="shared" si="6"/>
        <v>6.239999999999999</v>
      </c>
      <c r="O42" s="25">
        <f t="shared" si="9"/>
        <v>2.327604892398204</v>
      </c>
      <c r="P42" s="25">
        <f t="shared" si="10"/>
      </c>
      <c r="Q42" s="25">
        <f t="shared" si="11"/>
      </c>
      <c r="R42" s="66"/>
    </row>
    <row r="43" spans="1:18" ht="27.75" customHeight="1">
      <c r="A43" s="125"/>
      <c r="B43" s="102"/>
      <c r="C43" s="70" t="s">
        <v>64</v>
      </c>
      <c r="D43" s="5" t="s">
        <v>65</v>
      </c>
      <c r="E43" s="58">
        <v>87521.21</v>
      </c>
      <c r="F43" s="43">
        <v>104142</v>
      </c>
      <c r="G43" s="43">
        <v>44440</v>
      </c>
      <c r="H43" s="43">
        <v>9600</v>
      </c>
      <c r="I43" s="43">
        <v>95771.04</v>
      </c>
      <c r="J43" s="43">
        <v>7208.12</v>
      </c>
      <c r="K43" s="43">
        <f t="shared" si="3"/>
        <v>8249.829999999987</v>
      </c>
      <c r="L43" s="43">
        <f t="shared" si="4"/>
        <v>51331.03999999999</v>
      </c>
      <c r="M43" s="43">
        <f t="shared" si="5"/>
        <v>-8370.960000000006</v>
      </c>
      <c r="N43" s="43">
        <f t="shared" si="6"/>
        <v>-2391.88</v>
      </c>
      <c r="O43" s="25">
        <f t="shared" si="9"/>
        <v>1.0942609225809377</v>
      </c>
      <c r="P43" s="25">
        <f t="shared" si="10"/>
        <v>2.1550639063906387</v>
      </c>
      <c r="Q43" s="25">
        <f t="shared" si="11"/>
        <v>0.9196197499567897</v>
      </c>
      <c r="R43" s="66"/>
    </row>
    <row r="44" spans="1:18" ht="27.75" customHeight="1">
      <c r="A44" s="125"/>
      <c r="B44" s="102"/>
      <c r="C44" s="70" t="s">
        <v>66</v>
      </c>
      <c r="D44" s="5" t="s">
        <v>67</v>
      </c>
      <c r="E44" s="58">
        <v>23447.64</v>
      </c>
      <c r="F44" s="47">
        <v>45272.2</v>
      </c>
      <c r="G44" s="47">
        <v>12800</v>
      </c>
      <c r="H44" s="47">
        <v>2500</v>
      </c>
      <c r="I44" s="47">
        <v>40887.86</v>
      </c>
      <c r="J44" s="47">
        <v>8574.75</v>
      </c>
      <c r="K44" s="47">
        <v>5230.72</v>
      </c>
      <c r="L44" s="43">
        <f t="shared" si="4"/>
        <v>28087.86</v>
      </c>
      <c r="M44" s="43">
        <f t="shared" si="5"/>
        <v>-4384.3399999999965</v>
      </c>
      <c r="N44" s="43">
        <f t="shared" si="6"/>
        <v>6074.75</v>
      </c>
      <c r="O44" s="25">
        <f t="shared" si="9"/>
        <v>1.743794258185472</v>
      </c>
      <c r="P44" s="25">
        <f t="shared" si="10"/>
        <v>3.1943640625</v>
      </c>
      <c r="Q44" s="25">
        <f t="shared" si="11"/>
        <v>0.9031560206926106</v>
      </c>
      <c r="R44" s="66"/>
    </row>
    <row r="45" spans="1:18" ht="16.5" customHeight="1">
      <c r="A45" s="128"/>
      <c r="B45" s="130"/>
      <c r="C45" s="68" t="s">
        <v>73</v>
      </c>
      <c r="D45" s="4" t="s">
        <v>74</v>
      </c>
      <c r="E45" s="61">
        <v>7328.22</v>
      </c>
      <c r="F45" s="47">
        <v>14007.9</v>
      </c>
      <c r="G45" s="47">
        <v>5563.8</v>
      </c>
      <c r="H45" s="47">
        <v>2831.9</v>
      </c>
      <c r="I45" s="47">
        <v>4669.259999999999</v>
      </c>
      <c r="J45" s="47">
        <v>353.71999999999997</v>
      </c>
      <c r="K45" s="47">
        <v>5230.72</v>
      </c>
      <c r="L45" s="48">
        <f t="shared" si="4"/>
        <v>-894.5400000000009</v>
      </c>
      <c r="M45" s="48">
        <f t="shared" si="5"/>
        <v>-9338.64</v>
      </c>
      <c r="N45" s="48">
        <f t="shared" si="6"/>
        <v>-2478.1800000000003</v>
      </c>
      <c r="O45" s="25">
        <f t="shared" si="9"/>
        <v>0.6371615480976279</v>
      </c>
      <c r="P45" s="25">
        <f t="shared" si="10"/>
        <v>0.8392213954491533</v>
      </c>
      <c r="Q45" s="25">
        <f t="shared" si="11"/>
        <v>0.3333304778018118</v>
      </c>
      <c r="R45" s="66"/>
    </row>
    <row r="46" spans="1:18" ht="18" customHeight="1">
      <c r="A46" s="128"/>
      <c r="B46" s="130"/>
      <c r="C46" s="68" t="s">
        <v>46</v>
      </c>
      <c r="D46" s="4" t="s">
        <v>153</v>
      </c>
      <c r="E46" s="61">
        <v>-0.69</v>
      </c>
      <c r="F46" s="47">
        <v>0</v>
      </c>
      <c r="G46" s="47">
        <v>0</v>
      </c>
      <c r="H46" s="47">
        <v>0</v>
      </c>
      <c r="I46" s="47">
        <v>19116.879999999997</v>
      </c>
      <c r="J46" s="47">
        <v>2442.43</v>
      </c>
      <c r="K46" s="47">
        <v>5230.72</v>
      </c>
      <c r="L46" s="48">
        <f t="shared" si="4"/>
        <v>19116.879999999997</v>
      </c>
      <c r="M46" s="48">
        <f t="shared" si="5"/>
        <v>19116.879999999997</v>
      </c>
      <c r="N46" s="48">
        <f t="shared" si="6"/>
        <v>2442.43</v>
      </c>
      <c r="O46" s="25">
        <f t="shared" si="9"/>
        <v>-27705.623188405796</v>
      </c>
      <c r="P46" s="25">
        <f t="shared" si="10"/>
      </c>
      <c r="Q46" s="25">
        <f t="shared" si="11"/>
      </c>
      <c r="R46" s="66"/>
    </row>
    <row r="47" spans="1:18" ht="15.75">
      <c r="A47" s="125"/>
      <c r="B47" s="125"/>
      <c r="C47" s="91"/>
      <c r="D47" s="90" t="s">
        <v>11</v>
      </c>
      <c r="E47" s="60">
        <f>SUM(E38:E46)</f>
        <v>346383.63999999996</v>
      </c>
      <c r="F47" s="60">
        <f>SUM(F38:F46)</f>
        <v>790295.2200000001</v>
      </c>
      <c r="G47" s="60">
        <f>SUM(G38:G46)</f>
        <v>352523.89999999997</v>
      </c>
      <c r="H47" s="60">
        <f>SUM(H38:H46)</f>
        <v>78824.59999999999</v>
      </c>
      <c r="I47" s="60">
        <f>SUM(I38:I46)</f>
        <v>494608.11000000004</v>
      </c>
      <c r="J47" s="60">
        <f>SUM(J38:J46)</f>
        <v>77312.38999999998</v>
      </c>
      <c r="K47" s="60">
        <f>SUM(K38:K46)</f>
        <v>130017.79999999999</v>
      </c>
      <c r="L47" s="60">
        <f t="shared" si="4"/>
        <v>142084.21000000008</v>
      </c>
      <c r="M47" s="60">
        <f t="shared" si="5"/>
        <v>-295687.11000000004</v>
      </c>
      <c r="N47" s="60">
        <f t="shared" si="6"/>
        <v>-1512.2100000000064</v>
      </c>
      <c r="O47" s="25">
        <f t="shared" si="9"/>
        <v>1.4279199502609305</v>
      </c>
      <c r="P47" s="25">
        <f t="shared" si="10"/>
        <v>1.403048445793321</v>
      </c>
      <c r="Q47" s="25">
        <f t="shared" si="11"/>
        <v>0.6258523365483597</v>
      </c>
      <c r="R47" s="73"/>
    </row>
    <row r="48" spans="1:18" ht="15.75">
      <c r="A48" s="125" t="s">
        <v>68</v>
      </c>
      <c r="B48" s="102" t="s">
        <v>69</v>
      </c>
      <c r="C48" s="68" t="s">
        <v>42</v>
      </c>
      <c r="D48" s="4" t="s">
        <v>43</v>
      </c>
      <c r="E48" s="47">
        <v>8187.13</v>
      </c>
      <c r="F48" s="44">
        <v>2731.1</v>
      </c>
      <c r="G48" s="44">
        <v>2731.1</v>
      </c>
      <c r="H48" s="44">
        <v>0</v>
      </c>
      <c r="I48" s="44">
        <v>2731.14</v>
      </c>
      <c r="J48" s="44">
        <v>0</v>
      </c>
      <c r="K48" s="44">
        <f t="shared" si="3"/>
        <v>-5455.99</v>
      </c>
      <c r="L48" s="44">
        <f t="shared" si="4"/>
        <v>0.03999999999996362</v>
      </c>
      <c r="M48" s="44">
        <f t="shared" si="5"/>
        <v>0.03999999999996362</v>
      </c>
      <c r="N48" s="44">
        <f t="shared" si="6"/>
        <v>0</v>
      </c>
      <c r="O48" s="25">
        <f t="shared" si="9"/>
        <v>0.3335894263313273</v>
      </c>
      <c r="P48" s="25">
        <f t="shared" si="10"/>
        <v>1.0000146461132877</v>
      </c>
      <c r="Q48" s="25">
        <f t="shared" si="11"/>
        <v>1.0000146461132877</v>
      </c>
      <c r="R48" s="66"/>
    </row>
    <row r="49" spans="1:18" ht="15.75">
      <c r="A49" s="125"/>
      <c r="B49" s="102"/>
      <c r="C49" s="91"/>
      <c r="D49" s="92" t="s">
        <v>11</v>
      </c>
      <c r="E49" s="60">
        <f>E48</f>
        <v>8187.13</v>
      </c>
      <c r="F49" s="93">
        <f aca="true" t="shared" si="12" ref="F49:K49">SUM(F48:F48)</f>
        <v>2731.1</v>
      </c>
      <c r="G49" s="93">
        <f t="shared" si="12"/>
        <v>2731.1</v>
      </c>
      <c r="H49" s="93">
        <f t="shared" si="12"/>
        <v>0</v>
      </c>
      <c r="I49" s="93">
        <f t="shared" si="12"/>
        <v>2731.14</v>
      </c>
      <c r="J49" s="93">
        <f t="shared" si="12"/>
        <v>0</v>
      </c>
      <c r="K49" s="93">
        <f t="shared" si="12"/>
        <v>-5455.99</v>
      </c>
      <c r="L49" s="94">
        <f t="shared" si="4"/>
        <v>0.03999999999996362</v>
      </c>
      <c r="M49" s="94">
        <f t="shared" si="5"/>
        <v>0.03999999999996362</v>
      </c>
      <c r="N49" s="94">
        <f t="shared" si="6"/>
        <v>0</v>
      </c>
      <c r="O49" s="25">
        <f t="shared" si="9"/>
        <v>0.3335894263313273</v>
      </c>
      <c r="P49" s="25">
        <f t="shared" si="10"/>
        <v>1.0000146461132877</v>
      </c>
      <c r="Q49" s="25">
        <f t="shared" si="11"/>
        <v>1.0000146461132877</v>
      </c>
      <c r="R49" s="73"/>
    </row>
    <row r="50" spans="1:18" ht="15.75">
      <c r="A50" s="141" t="s">
        <v>71</v>
      </c>
      <c r="B50" s="142" t="s">
        <v>105</v>
      </c>
      <c r="C50" s="76" t="s">
        <v>113</v>
      </c>
      <c r="D50" s="10" t="s">
        <v>133</v>
      </c>
      <c r="E50" s="47">
        <v>176527.68</v>
      </c>
      <c r="F50" s="44">
        <v>636054.36</v>
      </c>
      <c r="G50" s="44">
        <f>263737.26+20238.8+12878.8</f>
        <v>296854.86</v>
      </c>
      <c r="H50" s="44">
        <f>37829.2+12878.8</f>
        <v>50708</v>
      </c>
      <c r="I50" s="44">
        <v>257929.03</v>
      </c>
      <c r="J50" s="44">
        <v>16960.45</v>
      </c>
      <c r="K50" s="44">
        <f t="shared" si="3"/>
        <v>81401.35</v>
      </c>
      <c r="L50" s="44">
        <f t="shared" si="4"/>
        <v>-38925.82999999999</v>
      </c>
      <c r="M50" s="44">
        <f t="shared" si="5"/>
        <v>-378125.32999999996</v>
      </c>
      <c r="N50" s="44">
        <f t="shared" si="6"/>
        <v>-33747.55</v>
      </c>
      <c r="O50" s="25">
        <f t="shared" si="9"/>
        <v>1.4611251334634887</v>
      </c>
      <c r="P50" s="25">
        <f t="shared" si="10"/>
        <v>0.8688725190485344</v>
      </c>
      <c r="Q50" s="25">
        <f t="shared" si="11"/>
        <v>0.40551412932693365</v>
      </c>
      <c r="R50" s="66"/>
    </row>
    <row r="51" spans="1:18" ht="15.75">
      <c r="A51" s="134"/>
      <c r="B51" s="143"/>
      <c r="C51" s="76" t="s">
        <v>114</v>
      </c>
      <c r="D51" s="10" t="s">
        <v>110</v>
      </c>
      <c r="E51" s="47">
        <v>117632.41</v>
      </c>
      <c r="F51" s="49">
        <v>415818.1</v>
      </c>
      <c r="G51" s="49">
        <f>175459.8+7178.6+6045.7</f>
        <v>188684.1</v>
      </c>
      <c r="H51" s="49">
        <f>27909.2+6045.7</f>
        <v>33954.9</v>
      </c>
      <c r="I51" s="49">
        <v>155908.86000000002</v>
      </c>
      <c r="J51" s="49">
        <v>12496.99</v>
      </c>
      <c r="K51" s="49">
        <f t="shared" si="3"/>
        <v>38276.45000000001</v>
      </c>
      <c r="L51" s="49">
        <f t="shared" si="4"/>
        <v>-32775.23999999999</v>
      </c>
      <c r="M51" s="49">
        <f t="shared" si="5"/>
        <v>-259909.23999999996</v>
      </c>
      <c r="N51" s="49">
        <f t="shared" si="6"/>
        <v>-21457.910000000003</v>
      </c>
      <c r="O51" s="25">
        <f t="shared" si="9"/>
        <v>1.325390340978307</v>
      </c>
      <c r="P51" s="25">
        <f t="shared" si="10"/>
        <v>0.8262956974117056</v>
      </c>
      <c r="Q51" s="25">
        <f t="shared" si="11"/>
        <v>0.3749448617075592</v>
      </c>
      <c r="R51" s="66"/>
    </row>
    <row r="52" spans="1:18" ht="15.75">
      <c r="A52" s="134"/>
      <c r="B52" s="143"/>
      <c r="C52" s="76" t="s">
        <v>115</v>
      </c>
      <c r="D52" s="10" t="s">
        <v>111</v>
      </c>
      <c r="E52" s="47">
        <v>1612488.11</v>
      </c>
      <c r="F52" s="44">
        <v>3830717.65</v>
      </c>
      <c r="G52" s="44">
        <f>1704761.05+132911.8+6793.1</f>
        <v>1844465.9500000002</v>
      </c>
      <c r="H52" s="44">
        <f>286562.8+6793.1</f>
        <v>293355.89999999997</v>
      </c>
      <c r="I52" s="44">
        <v>1741269.8599999999</v>
      </c>
      <c r="J52" s="44">
        <v>167135.87</v>
      </c>
      <c r="K52" s="44">
        <f t="shared" si="3"/>
        <v>128781.74999999977</v>
      </c>
      <c r="L52" s="44">
        <f t="shared" si="4"/>
        <v>-103196.09000000032</v>
      </c>
      <c r="M52" s="44">
        <f t="shared" si="5"/>
        <v>-2089447.79</v>
      </c>
      <c r="N52" s="44">
        <f t="shared" si="6"/>
        <v>-126220.02999999997</v>
      </c>
      <c r="O52" s="25">
        <f t="shared" si="9"/>
        <v>1.0798652400605917</v>
      </c>
      <c r="P52" s="25">
        <f t="shared" si="10"/>
        <v>0.9440509649961278</v>
      </c>
      <c r="Q52" s="25">
        <f t="shared" si="11"/>
        <v>0.4545544775402593</v>
      </c>
      <c r="R52" s="66"/>
    </row>
    <row r="53" spans="1:18" ht="15.75">
      <c r="A53" s="134"/>
      <c r="B53" s="143"/>
      <c r="C53" s="76" t="s">
        <v>130</v>
      </c>
      <c r="D53" s="10" t="s">
        <v>112</v>
      </c>
      <c r="E53" s="47">
        <v>1182.59</v>
      </c>
      <c r="F53" s="44">
        <v>0</v>
      </c>
      <c r="G53" s="44">
        <v>0</v>
      </c>
      <c r="H53" s="44">
        <v>0</v>
      </c>
      <c r="I53" s="44">
        <v>591.41</v>
      </c>
      <c r="J53" s="44">
        <v>80.19</v>
      </c>
      <c r="K53" s="44">
        <f t="shared" si="3"/>
        <v>-591.18</v>
      </c>
      <c r="L53" s="44">
        <f t="shared" si="4"/>
        <v>591.41</v>
      </c>
      <c r="M53" s="44">
        <f t="shared" si="5"/>
        <v>591.41</v>
      </c>
      <c r="N53" s="44">
        <f t="shared" si="6"/>
        <v>80.19</v>
      </c>
      <c r="O53" s="25">
        <f t="shared" si="9"/>
        <v>0.500097244184375</v>
      </c>
      <c r="P53" s="25">
        <f t="shared" si="10"/>
      </c>
      <c r="Q53" s="25">
        <f t="shared" si="11"/>
      </c>
      <c r="R53" s="66"/>
    </row>
    <row r="54" spans="1:18" ht="15.75">
      <c r="A54" s="99"/>
      <c r="B54" s="144"/>
      <c r="C54" s="95"/>
      <c r="D54" s="96" t="s">
        <v>11</v>
      </c>
      <c r="E54" s="97">
        <f>SUM(E50:E53)</f>
        <v>1907830.7900000003</v>
      </c>
      <c r="F54" s="97">
        <f>SUM(F50:F53)</f>
        <v>4882590.109999999</v>
      </c>
      <c r="G54" s="97">
        <f>SUM(G50:G53)</f>
        <v>2330004.91</v>
      </c>
      <c r="H54" s="97">
        <f>SUM(H50:H53)</f>
        <v>378018.79999999993</v>
      </c>
      <c r="I54" s="97">
        <f>SUM(I50:I53)</f>
        <v>2155699.16</v>
      </c>
      <c r="J54" s="97">
        <f>SUM(J50:J53)</f>
        <v>196673.5</v>
      </c>
      <c r="K54" s="97">
        <f>SUM(K50:K53)</f>
        <v>247868.3699999998</v>
      </c>
      <c r="L54" s="97">
        <f t="shared" si="4"/>
        <v>-174305.75</v>
      </c>
      <c r="M54" s="97">
        <f t="shared" si="5"/>
        <v>-2726890.9499999993</v>
      </c>
      <c r="N54" s="97">
        <f t="shared" si="6"/>
        <v>-181345.29999999993</v>
      </c>
      <c r="O54" s="25">
        <f t="shared" si="9"/>
        <v>1.1299215691974442</v>
      </c>
      <c r="P54" s="25">
        <f t="shared" si="10"/>
        <v>0.9251908228811415</v>
      </c>
      <c r="Q54" s="25">
        <f t="shared" si="11"/>
        <v>0.44150729662621635</v>
      </c>
      <c r="R54" s="73"/>
    </row>
    <row r="55" spans="1:18" ht="15.75">
      <c r="A55" s="133">
        <v>991</v>
      </c>
      <c r="B55" s="133" t="s">
        <v>75</v>
      </c>
      <c r="C55" s="70" t="s">
        <v>44</v>
      </c>
      <c r="D55" s="5" t="s">
        <v>76</v>
      </c>
      <c r="E55" s="58">
        <v>24265.18</v>
      </c>
      <c r="F55" s="42">
        <v>54298.2</v>
      </c>
      <c r="G55" s="42">
        <v>25700</v>
      </c>
      <c r="H55" s="42">
        <v>4500</v>
      </c>
      <c r="I55" s="42">
        <v>24599.99</v>
      </c>
      <c r="J55" s="42">
        <v>2514.74</v>
      </c>
      <c r="K55" s="42">
        <f t="shared" si="3"/>
        <v>334.8100000000013</v>
      </c>
      <c r="L55" s="42">
        <f t="shared" si="4"/>
        <v>-1100.0099999999984</v>
      </c>
      <c r="M55" s="42">
        <f t="shared" si="5"/>
        <v>-29698.209999999995</v>
      </c>
      <c r="N55" s="42">
        <f t="shared" si="6"/>
        <v>-1985.2600000000002</v>
      </c>
      <c r="O55" s="25">
        <f t="shared" si="9"/>
        <v>1.0137979606992407</v>
      </c>
      <c r="P55" s="25">
        <f t="shared" si="10"/>
        <v>0.9571980544747082</v>
      </c>
      <c r="Q55" s="25">
        <f t="shared" si="11"/>
        <v>0.45305350821942536</v>
      </c>
      <c r="R55" s="66"/>
    </row>
    <row r="56" spans="1:18" ht="15.75">
      <c r="A56" s="133"/>
      <c r="B56" s="133"/>
      <c r="C56" s="68" t="s">
        <v>77</v>
      </c>
      <c r="D56" s="4" t="s">
        <v>78</v>
      </c>
      <c r="E56" s="58">
        <v>1849</v>
      </c>
      <c r="F56" s="42">
        <v>0</v>
      </c>
      <c r="G56" s="42">
        <v>0</v>
      </c>
      <c r="H56" s="42">
        <v>0</v>
      </c>
      <c r="I56" s="42">
        <v>3386.69</v>
      </c>
      <c r="J56" s="42">
        <v>0</v>
      </c>
      <c r="K56" s="42">
        <f t="shared" si="3"/>
        <v>1537.69</v>
      </c>
      <c r="L56" s="42">
        <f t="shared" si="4"/>
        <v>3386.69</v>
      </c>
      <c r="M56" s="42">
        <f t="shared" si="5"/>
        <v>3386.69</v>
      </c>
      <c r="N56" s="42">
        <f t="shared" si="6"/>
        <v>0</v>
      </c>
      <c r="O56" s="28">
        <f t="shared" si="9"/>
        <v>1.8316333153055706</v>
      </c>
      <c r="P56" s="25">
        <f t="shared" si="10"/>
      </c>
      <c r="Q56" s="25">
        <f t="shared" si="11"/>
      </c>
      <c r="R56" s="66"/>
    </row>
    <row r="57" spans="1:18" ht="15.75">
      <c r="A57" s="133"/>
      <c r="B57" s="133"/>
      <c r="C57" s="91"/>
      <c r="D57" s="90" t="s">
        <v>11</v>
      </c>
      <c r="E57" s="60">
        <f>SUM(E55:E56)</f>
        <v>26114.18</v>
      </c>
      <c r="F57" s="60">
        <f>SUM(F55:F56)</f>
        <v>54298.2</v>
      </c>
      <c r="G57" s="60">
        <f>SUM(G55:G56)</f>
        <v>25700</v>
      </c>
      <c r="H57" s="60">
        <f>SUM(H55:H56)</f>
        <v>4500</v>
      </c>
      <c r="I57" s="60">
        <f>SUM(I55:I56)</f>
        <v>27986.68</v>
      </c>
      <c r="J57" s="60">
        <f>SUM(J55:J56)</f>
        <v>2514.74</v>
      </c>
      <c r="K57" s="60">
        <f>SUM(K55:K56)</f>
        <v>1872.5000000000014</v>
      </c>
      <c r="L57" s="60">
        <f t="shared" si="4"/>
        <v>2286.6800000000003</v>
      </c>
      <c r="M57" s="60">
        <f t="shared" si="5"/>
        <v>-26311.519999999997</v>
      </c>
      <c r="N57" s="60">
        <f t="shared" si="6"/>
        <v>-1985.2600000000002</v>
      </c>
      <c r="O57" s="89">
        <f t="shared" si="9"/>
        <v>1.0717043384092473</v>
      </c>
      <c r="P57" s="25">
        <f t="shared" si="10"/>
        <v>1.0889758754863814</v>
      </c>
      <c r="Q57" s="89">
        <f t="shared" si="11"/>
        <v>0.5154255573849594</v>
      </c>
      <c r="R57" s="73"/>
    </row>
    <row r="58" spans="1:18" ht="15.75">
      <c r="A58" s="125" t="s">
        <v>79</v>
      </c>
      <c r="B58" s="102" t="s">
        <v>80</v>
      </c>
      <c r="C58" s="68" t="s">
        <v>81</v>
      </c>
      <c r="D58" s="4" t="s">
        <v>82</v>
      </c>
      <c r="E58" s="58">
        <v>2659.87</v>
      </c>
      <c r="F58" s="42">
        <v>7767.5</v>
      </c>
      <c r="G58" s="42">
        <v>3895</v>
      </c>
      <c r="H58" s="42">
        <v>231.5</v>
      </c>
      <c r="I58" s="42">
        <v>6694.959999999999</v>
      </c>
      <c r="J58" s="42">
        <v>127.23</v>
      </c>
      <c r="K58" s="42">
        <f t="shared" si="3"/>
        <v>4035.0899999999992</v>
      </c>
      <c r="L58" s="42">
        <f t="shared" si="4"/>
        <v>2799.959999999999</v>
      </c>
      <c r="M58" s="42">
        <f t="shared" si="5"/>
        <v>-1072.5400000000009</v>
      </c>
      <c r="N58" s="42">
        <f t="shared" si="6"/>
        <v>-104.27</v>
      </c>
      <c r="O58" s="25">
        <f t="shared" si="9"/>
        <v>2.5170252681522025</v>
      </c>
      <c r="P58" s="25">
        <f t="shared" si="10"/>
        <v>1.7188600770218225</v>
      </c>
      <c r="Q58" s="25">
        <f t="shared" si="11"/>
        <v>0.8619195365304151</v>
      </c>
      <c r="R58" s="66"/>
    </row>
    <row r="59" spans="1:18" ht="15.75">
      <c r="A59" s="125"/>
      <c r="B59" s="102"/>
      <c r="C59" s="86"/>
      <c r="D59" s="90" t="s">
        <v>11</v>
      </c>
      <c r="E59" s="60">
        <f aca="true" t="shared" si="13" ref="E59:K59">E58</f>
        <v>2659.87</v>
      </c>
      <c r="F59" s="98">
        <f t="shared" si="13"/>
        <v>7767.5</v>
      </c>
      <c r="G59" s="98">
        <f t="shared" si="13"/>
        <v>3895</v>
      </c>
      <c r="H59" s="98">
        <f t="shared" si="13"/>
        <v>231.5</v>
      </c>
      <c r="I59" s="98">
        <f t="shared" si="13"/>
        <v>6694.959999999999</v>
      </c>
      <c r="J59" s="98">
        <f t="shared" si="13"/>
        <v>127.23</v>
      </c>
      <c r="K59" s="98">
        <f t="shared" si="13"/>
        <v>4035.0899999999992</v>
      </c>
      <c r="L59" s="98">
        <f t="shared" si="4"/>
        <v>2799.959999999999</v>
      </c>
      <c r="M59" s="98">
        <f t="shared" si="5"/>
        <v>-1072.5400000000009</v>
      </c>
      <c r="N59" s="98">
        <f t="shared" si="6"/>
        <v>-104.27</v>
      </c>
      <c r="O59" s="89">
        <f t="shared" si="9"/>
        <v>2.5170252681522025</v>
      </c>
      <c r="P59" s="89">
        <f t="shared" si="10"/>
        <v>1.7188600770218225</v>
      </c>
      <c r="Q59" s="89">
        <f t="shared" si="11"/>
        <v>0.8619195365304151</v>
      </c>
      <c r="R59" s="73"/>
    </row>
    <row r="60" spans="1:18" ht="15.75">
      <c r="A60" s="102"/>
      <c r="B60" s="102" t="s">
        <v>83</v>
      </c>
      <c r="C60" s="68" t="s">
        <v>107</v>
      </c>
      <c r="D60" s="6" t="s">
        <v>84</v>
      </c>
      <c r="E60" s="58">
        <v>472.57</v>
      </c>
      <c r="F60" s="42">
        <v>41.2</v>
      </c>
      <c r="G60" s="42">
        <v>41.2</v>
      </c>
      <c r="H60" s="42">
        <v>0</v>
      </c>
      <c r="I60" s="42">
        <v>116.68</v>
      </c>
      <c r="J60" s="42">
        <v>33.61</v>
      </c>
      <c r="K60" s="42">
        <f aca="true" t="shared" si="14" ref="K60:K78">I60-E60</f>
        <v>-355.89</v>
      </c>
      <c r="L60" s="42">
        <f t="shared" si="4"/>
        <v>75.48</v>
      </c>
      <c r="M60" s="42">
        <f t="shared" si="5"/>
        <v>75.48</v>
      </c>
      <c r="N60" s="42">
        <f t="shared" si="6"/>
        <v>33.61</v>
      </c>
      <c r="O60" s="25">
        <f t="shared" si="9"/>
        <v>0.24690522039062998</v>
      </c>
      <c r="P60" s="25">
        <f t="shared" si="10"/>
        <v>2.8320388349514563</v>
      </c>
      <c r="Q60" s="25">
        <f t="shared" si="11"/>
        <v>2.8320388349514563</v>
      </c>
      <c r="R60" s="66"/>
    </row>
    <row r="61" spans="1:18" ht="15.75">
      <c r="A61" s="103"/>
      <c r="B61" s="103"/>
      <c r="C61" s="68" t="s">
        <v>108</v>
      </c>
      <c r="D61" s="4" t="s">
        <v>145</v>
      </c>
      <c r="E61" s="50">
        <v>24.46</v>
      </c>
      <c r="F61" s="50">
        <v>47.1</v>
      </c>
      <c r="G61" s="50">
        <v>47.1</v>
      </c>
      <c r="H61" s="50">
        <v>0</v>
      </c>
      <c r="I61" s="50">
        <v>272.04</v>
      </c>
      <c r="J61" s="50">
        <v>0</v>
      </c>
      <c r="K61" s="50">
        <f t="shared" si="14"/>
        <v>247.58</v>
      </c>
      <c r="L61" s="50">
        <f t="shared" si="4"/>
        <v>224.94000000000003</v>
      </c>
      <c r="M61" s="50">
        <f t="shared" si="5"/>
        <v>224.94000000000003</v>
      </c>
      <c r="N61" s="50">
        <f t="shared" si="6"/>
        <v>0</v>
      </c>
      <c r="O61" s="25">
        <f t="shared" si="9"/>
        <v>11.121831561733442</v>
      </c>
      <c r="P61" s="25">
        <f t="shared" si="10"/>
        <v>5.775796178343949</v>
      </c>
      <c r="Q61" s="25">
        <f t="shared" si="11"/>
        <v>5.775796178343949</v>
      </c>
      <c r="R61" s="66"/>
    </row>
    <row r="62" spans="1:18" ht="15.75">
      <c r="A62" s="102"/>
      <c r="B62" s="102"/>
      <c r="C62" s="68" t="s">
        <v>42</v>
      </c>
      <c r="D62" s="4" t="s">
        <v>43</v>
      </c>
      <c r="E62" s="58">
        <v>9531</v>
      </c>
      <c r="F62" s="42">
        <v>7387.5</v>
      </c>
      <c r="G62" s="42">
        <v>7387.5</v>
      </c>
      <c r="H62" s="42">
        <v>0</v>
      </c>
      <c r="I62" s="42">
        <v>7387.5</v>
      </c>
      <c r="J62" s="42">
        <v>0</v>
      </c>
      <c r="K62" s="42">
        <f t="shared" si="14"/>
        <v>-2143.5</v>
      </c>
      <c r="L62" s="42">
        <f t="shared" si="4"/>
        <v>0</v>
      </c>
      <c r="M62" s="42">
        <f t="shared" si="5"/>
        <v>0</v>
      </c>
      <c r="N62" s="42">
        <f t="shared" si="6"/>
        <v>0</v>
      </c>
      <c r="O62" s="25">
        <f t="shared" si="9"/>
        <v>0.7751022977651872</v>
      </c>
      <c r="P62" s="25">
        <f t="shared" si="10"/>
        <v>1</v>
      </c>
      <c r="Q62" s="25">
        <f t="shared" si="11"/>
        <v>1</v>
      </c>
      <c r="R62" s="66"/>
    </row>
    <row r="63" spans="1:18" ht="16.5" customHeight="1">
      <c r="A63" s="102"/>
      <c r="B63" s="102"/>
      <c r="C63" s="68" t="s">
        <v>116</v>
      </c>
      <c r="D63" s="4" t="s">
        <v>70</v>
      </c>
      <c r="E63" s="58">
        <v>13399.29</v>
      </c>
      <c r="F63" s="43">
        <v>680.5</v>
      </c>
      <c r="G63" s="43">
        <v>340</v>
      </c>
      <c r="H63" s="43">
        <v>70</v>
      </c>
      <c r="I63" s="43">
        <v>27670.2</v>
      </c>
      <c r="J63" s="43">
        <v>772.5699999999998</v>
      </c>
      <c r="K63" s="43">
        <f t="shared" si="14"/>
        <v>14270.91</v>
      </c>
      <c r="L63" s="43">
        <f t="shared" si="4"/>
        <v>27330.2</v>
      </c>
      <c r="M63" s="43">
        <f t="shared" si="5"/>
        <v>26989.7</v>
      </c>
      <c r="N63" s="43">
        <f t="shared" si="6"/>
        <v>702.5699999999998</v>
      </c>
      <c r="O63" s="25">
        <f t="shared" si="9"/>
        <v>2.065049715320737</v>
      </c>
      <c r="P63" s="25">
        <f t="shared" si="10"/>
        <v>81.3829411764706</v>
      </c>
      <c r="Q63" s="25">
        <f t="shared" si="11"/>
        <v>40.66157237325496</v>
      </c>
      <c r="R63" s="66"/>
    </row>
    <row r="64" spans="1:18" ht="15.75">
      <c r="A64" s="102"/>
      <c r="B64" s="102"/>
      <c r="C64" s="68" t="s">
        <v>73</v>
      </c>
      <c r="D64" s="4" t="s">
        <v>74</v>
      </c>
      <c r="E64" s="47">
        <v>44211.10999999999</v>
      </c>
      <c r="F64" s="43">
        <f>86939.9+8662.9-14007.9</f>
        <v>81594.9</v>
      </c>
      <c r="G64" s="43">
        <v>37168.3</v>
      </c>
      <c r="H64" s="43">
        <v>7284.5</v>
      </c>
      <c r="I64" s="43">
        <v>46486.88999999996</v>
      </c>
      <c r="J64" s="43">
        <v>7962.0700000000015</v>
      </c>
      <c r="K64" s="43">
        <f t="shared" si="14"/>
        <v>2275.7799999999697</v>
      </c>
      <c r="L64" s="43">
        <f t="shared" si="4"/>
        <v>9318.58999999996</v>
      </c>
      <c r="M64" s="43">
        <f t="shared" si="5"/>
        <v>-35108.01000000003</v>
      </c>
      <c r="N64" s="43">
        <f t="shared" si="6"/>
        <v>677.5700000000015</v>
      </c>
      <c r="O64" s="25">
        <f aca="true" t="shared" si="15" ref="O64:O79">_xlfn.IFERROR(I64/E64,"")</f>
        <v>1.0514752965940002</v>
      </c>
      <c r="P64" s="25">
        <f aca="true" t="shared" si="16" ref="P64:P79">_xlfn.IFERROR(I64/G64,"")</f>
        <v>1.2507133767215601</v>
      </c>
      <c r="Q64" s="25">
        <f aca="true" t="shared" si="17" ref="Q64:Q79">_xlfn.IFERROR(I64/F64,"")</f>
        <v>0.5697278874047271</v>
      </c>
      <c r="R64" s="66"/>
    </row>
    <row r="65" spans="1:18" ht="15.75">
      <c r="A65" s="102"/>
      <c r="B65" s="102"/>
      <c r="C65" s="68" t="s">
        <v>85</v>
      </c>
      <c r="D65" s="4" t="s">
        <v>86</v>
      </c>
      <c r="E65" s="47">
        <v>10700.309999999994</v>
      </c>
      <c r="F65" s="43">
        <v>0</v>
      </c>
      <c r="G65" s="43">
        <v>0</v>
      </c>
      <c r="H65" s="43">
        <v>0</v>
      </c>
      <c r="I65" s="43">
        <v>-6184.9400000000005</v>
      </c>
      <c r="J65" s="43">
        <v>-147.40999999999997</v>
      </c>
      <c r="K65" s="43">
        <f t="shared" si="14"/>
        <v>-16885.249999999993</v>
      </c>
      <c r="L65" s="43">
        <f t="shared" si="4"/>
        <v>-6184.9400000000005</v>
      </c>
      <c r="M65" s="43">
        <f t="shared" si="5"/>
        <v>-6184.9400000000005</v>
      </c>
      <c r="N65" s="43">
        <f t="shared" si="6"/>
        <v>-147.40999999999997</v>
      </c>
      <c r="O65" s="25">
        <f t="shared" si="15"/>
        <v>-0.5780150294711092</v>
      </c>
      <c r="P65" s="25">
        <f t="shared" si="16"/>
      </c>
      <c r="Q65" s="25">
        <f t="shared" si="17"/>
      </c>
      <c r="R65" s="66"/>
    </row>
    <row r="66" spans="1:18" ht="15.75">
      <c r="A66" s="102"/>
      <c r="B66" s="102"/>
      <c r="C66" s="68" t="s">
        <v>46</v>
      </c>
      <c r="D66" s="4" t="s">
        <v>60</v>
      </c>
      <c r="E66" s="47">
        <v>9705.16</v>
      </c>
      <c r="F66" s="43">
        <v>16333.1</v>
      </c>
      <c r="G66" s="43">
        <v>3950</v>
      </c>
      <c r="H66" s="43">
        <v>1050</v>
      </c>
      <c r="I66" s="43">
        <v>24211.04</v>
      </c>
      <c r="J66" s="43">
        <v>9793.47</v>
      </c>
      <c r="K66" s="43">
        <f t="shared" si="14"/>
        <v>14505.880000000001</v>
      </c>
      <c r="L66" s="43">
        <f aca="true" t="shared" si="18" ref="L66:L78">I66-G66</f>
        <v>20261.04</v>
      </c>
      <c r="M66" s="43">
        <f aca="true" t="shared" si="19" ref="M66:M78">I66-F66</f>
        <v>7877.9400000000005</v>
      </c>
      <c r="N66" s="43">
        <f aca="true" t="shared" si="20" ref="N66:N78">J66-H66</f>
        <v>8743.47</v>
      </c>
      <c r="O66" s="25">
        <f t="shared" si="15"/>
        <v>2.4946564507952473</v>
      </c>
      <c r="P66" s="25">
        <f t="shared" si="16"/>
        <v>6.129377215189874</v>
      </c>
      <c r="Q66" s="25">
        <f t="shared" si="17"/>
        <v>1.4823297475678223</v>
      </c>
      <c r="R66" s="66"/>
    </row>
    <row r="67" spans="1:18" ht="15.75">
      <c r="A67" s="104"/>
      <c r="B67" s="104"/>
      <c r="C67" s="68" t="s">
        <v>149</v>
      </c>
      <c r="D67" s="4" t="s">
        <v>148</v>
      </c>
      <c r="E67" s="47">
        <v>2146.93</v>
      </c>
      <c r="F67" s="43">
        <v>0</v>
      </c>
      <c r="G67" s="43">
        <f>H67</f>
        <v>0</v>
      </c>
      <c r="H67" s="43">
        <v>0</v>
      </c>
      <c r="I67" s="43">
        <v>795.93</v>
      </c>
      <c r="J67" s="43">
        <v>0</v>
      </c>
      <c r="K67" s="43">
        <f t="shared" si="14"/>
        <v>-1351</v>
      </c>
      <c r="L67" s="43">
        <f t="shared" si="18"/>
        <v>795.93</v>
      </c>
      <c r="M67" s="43">
        <f t="shared" si="19"/>
        <v>795.93</v>
      </c>
      <c r="N67" s="43">
        <f t="shared" si="20"/>
        <v>0</v>
      </c>
      <c r="O67" s="25">
        <f t="shared" si="15"/>
        <v>0.3707293670496942</v>
      </c>
      <c r="P67" s="25">
        <f t="shared" si="16"/>
      </c>
      <c r="Q67" s="25">
        <f t="shared" si="17"/>
      </c>
      <c r="R67" s="66"/>
    </row>
    <row r="68" spans="1:18" ht="15.75">
      <c r="A68" s="102"/>
      <c r="B68" s="102"/>
      <c r="C68" s="86"/>
      <c r="D68" s="90" t="s">
        <v>87</v>
      </c>
      <c r="E68" s="60">
        <f>SUM(E60:E67)</f>
        <v>90190.82999999999</v>
      </c>
      <c r="F68" s="60">
        <f>SUM(F60:F67)</f>
        <v>106084.3</v>
      </c>
      <c r="G68" s="60">
        <f>SUM(G60:G67)</f>
        <v>48934.100000000006</v>
      </c>
      <c r="H68" s="60">
        <f>SUM(H60:H67)</f>
        <v>8404.5</v>
      </c>
      <c r="I68" s="60">
        <f>SUM(I60:I67)</f>
        <v>100755.33999999997</v>
      </c>
      <c r="J68" s="60">
        <f>SUM(J60:J67)</f>
        <v>18414.31</v>
      </c>
      <c r="K68" s="60">
        <f>SUM(K60:K67)</f>
        <v>10564.509999999978</v>
      </c>
      <c r="L68" s="98">
        <f t="shared" si="18"/>
        <v>51821.23999999996</v>
      </c>
      <c r="M68" s="98">
        <f t="shared" si="19"/>
        <v>-5328.9600000000355</v>
      </c>
      <c r="N68" s="98">
        <f t="shared" si="20"/>
        <v>10009.810000000001</v>
      </c>
      <c r="O68" s="89">
        <f t="shared" si="15"/>
        <v>1.1171350790318704</v>
      </c>
      <c r="P68" s="89">
        <f t="shared" si="16"/>
        <v>2.0590005742416833</v>
      </c>
      <c r="Q68" s="89">
        <f t="shared" si="17"/>
        <v>0.9497667421098124</v>
      </c>
      <c r="R68" s="73"/>
    </row>
    <row r="69" spans="1:21" ht="25.5" customHeight="1">
      <c r="A69" s="105" t="s">
        <v>88</v>
      </c>
      <c r="B69" s="105"/>
      <c r="C69" s="106"/>
      <c r="D69" s="105"/>
      <c r="E69" s="51">
        <f>E5+E22</f>
        <v>9152381.930000002</v>
      </c>
      <c r="F69" s="51">
        <f>F5+F22</f>
        <v>26570797.730000004</v>
      </c>
      <c r="G69" s="51">
        <f>G5+G22</f>
        <v>10946642.610000001</v>
      </c>
      <c r="H69" s="51">
        <f>H5+H22</f>
        <v>1693623.1</v>
      </c>
      <c r="I69" s="51">
        <f>I5+I22</f>
        <v>9169902.760000002</v>
      </c>
      <c r="J69" s="51">
        <f>J5+J22</f>
        <v>409655.68999999994</v>
      </c>
      <c r="K69" s="51">
        <f>K5+K22</f>
        <v>-685.8400000007823</v>
      </c>
      <c r="L69" s="52">
        <f t="shared" si="18"/>
        <v>-1776739.8499999996</v>
      </c>
      <c r="M69" s="52">
        <f t="shared" si="19"/>
        <v>-17400894.970000003</v>
      </c>
      <c r="N69" s="52">
        <f t="shared" si="20"/>
        <v>-1283967.4100000001</v>
      </c>
      <c r="O69" s="33">
        <f t="shared" si="15"/>
        <v>1.0019143464656528</v>
      </c>
      <c r="P69" s="33">
        <f t="shared" si="16"/>
        <v>0.8376908872153268</v>
      </c>
      <c r="Q69" s="33">
        <f t="shared" si="17"/>
        <v>0.34511206073601014</v>
      </c>
      <c r="R69" s="77"/>
      <c r="T69" s="34"/>
      <c r="U69" s="36"/>
    </row>
    <row r="70" spans="1:18" ht="33" customHeight="1">
      <c r="A70" s="107"/>
      <c r="B70" s="109"/>
      <c r="C70" s="68"/>
      <c r="D70" s="30" t="s">
        <v>89</v>
      </c>
      <c r="E70" s="53">
        <f>SUM(E71:E78)</f>
        <v>9002551.169999998</v>
      </c>
      <c r="F70" s="53">
        <f>SUM(F71:F78)</f>
        <v>28028970.46</v>
      </c>
      <c r="G70" s="53">
        <f>SUM(G71:G78)</f>
        <v>10452177.559999999</v>
      </c>
      <c r="H70" s="53">
        <f>SUM(H71:H78)</f>
        <v>1919125.45</v>
      </c>
      <c r="I70" s="53">
        <f>SUM(I71:I78)</f>
        <v>10551157.239999998</v>
      </c>
      <c r="J70" s="53">
        <f>SUM(J71:J78)</f>
        <v>1973949.46</v>
      </c>
      <c r="K70" s="53">
        <f>SUM(K71:K78)</f>
        <v>1548606.0699999994</v>
      </c>
      <c r="L70" s="54">
        <f t="shared" si="18"/>
        <v>98979.6799999997</v>
      </c>
      <c r="M70" s="54">
        <f t="shared" si="19"/>
        <v>-17477813.220000003</v>
      </c>
      <c r="N70" s="54">
        <f t="shared" si="20"/>
        <v>54824.01000000001</v>
      </c>
      <c r="O70" s="31">
        <f t="shared" si="15"/>
        <v>1.1720185801509864</v>
      </c>
      <c r="P70" s="31">
        <f t="shared" si="16"/>
        <v>1.0094697664129617</v>
      </c>
      <c r="Q70" s="31">
        <f t="shared" si="17"/>
        <v>0.37643755966911097</v>
      </c>
      <c r="R70" s="77"/>
    </row>
    <row r="71" spans="1:18" ht="31.5">
      <c r="A71" s="107"/>
      <c r="B71" s="109"/>
      <c r="C71" s="68" t="s">
        <v>125</v>
      </c>
      <c r="D71" s="11" t="s">
        <v>90</v>
      </c>
      <c r="E71" s="47">
        <v>539943.4</v>
      </c>
      <c r="F71" s="43">
        <v>384548</v>
      </c>
      <c r="G71" s="43">
        <v>320133.9</v>
      </c>
      <c r="H71" s="43">
        <v>0</v>
      </c>
      <c r="I71" s="43">
        <v>326643.7</v>
      </c>
      <c r="J71" s="43">
        <v>0</v>
      </c>
      <c r="K71" s="43">
        <f aca="true" t="shared" si="21" ref="K71:K76">I71-E71</f>
        <v>-213299.7</v>
      </c>
      <c r="L71" s="43">
        <f>I71-G71</f>
        <v>6509.799999999988</v>
      </c>
      <c r="M71" s="43">
        <f>I71-F71</f>
        <v>-57904.29999999999</v>
      </c>
      <c r="N71" s="43">
        <f>J71-H71</f>
        <v>0</v>
      </c>
      <c r="O71" s="26">
        <f t="shared" si="15"/>
        <v>0.6049591494219579</v>
      </c>
      <c r="P71" s="26">
        <f t="shared" si="16"/>
        <v>1.0203346162340194</v>
      </c>
      <c r="Q71" s="26">
        <f t="shared" si="17"/>
        <v>0.8494224388112798</v>
      </c>
      <c r="R71" s="71"/>
    </row>
    <row r="72" spans="1:18" ht="15.75">
      <c r="A72" s="107"/>
      <c r="B72" s="109"/>
      <c r="C72" s="68" t="s">
        <v>126</v>
      </c>
      <c r="D72" s="12" t="s">
        <v>91</v>
      </c>
      <c r="E72" s="47">
        <v>1130185.44</v>
      </c>
      <c r="F72" s="43">
        <v>9844322.1</v>
      </c>
      <c r="G72" s="43">
        <v>1635154.22</v>
      </c>
      <c r="H72" s="47">
        <v>164316.22</v>
      </c>
      <c r="I72" s="47">
        <v>1635154.22</v>
      </c>
      <c r="J72" s="47">
        <v>164316.22</v>
      </c>
      <c r="K72" s="43">
        <f t="shared" si="21"/>
        <v>504968.78</v>
      </c>
      <c r="L72" s="43">
        <f>I72-G72</f>
        <v>0</v>
      </c>
      <c r="M72" s="43">
        <f>I72-F72</f>
        <v>-8209167.88</v>
      </c>
      <c r="N72" s="43">
        <f>J72-H72</f>
        <v>0</v>
      </c>
      <c r="O72" s="26">
        <f t="shared" si="15"/>
        <v>1.44680170362131</v>
      </c>
      <c r="P72" s="26">
        <f t="shared" si="16"/>
        <v>1</v>
      </c>
      <c r="Q72" s="26">
        <f t="shared" si="17"/>
        <v>0.16610125140054083</v>
      </c>
      <c r="R72" s="66"/>
    </row>
    <row r="73" spans="1:18" ht="15.75">
      <c r="A73" s="107"/>
      <c r="B73" s="109"/>
      <c r="C73" s="68" t="s">
        <v>127</v>
      </c>
      <c r="D73" s="12" t="s">
        <v>92</v>
      </c>
      <c r="E73" s="47">
        <v>5788610.16</v>
      </c>
      <c r="F73" s="43">
        <v>12307705.3</v>
      </c>
      <c r="G73" s="43">
        <v>6159997.56</v>
      </c>
      <c r="H73" s="47">
        <v>1602634.01</v>
      </c>
      <c r="I73" s="47">
        <v>6159997.56</v>
      </c>
      <c r="J73" s="47">
        <v>1602634.01</v>
      </c>
      <c r="K73" s="43">
        <f t="shared" si="21"/>
        <v>371387.39999999944</v>
      </c>
      <c r="L73" s="43">
        <f>I73-G73</f>
        <v>0</v>
      </c>
      <c r="M73" s="43">
        <f t="shared" si="19"/>
        <v>-6147707.740000001</v>
      </c>
      <c r="N73" s="43">
        <f>J73-H73</f>
        <v>0</v>
      </c>
      <c r="O73" s="26">
        <f t="shared" si="15"/>
        <v>1.064158302206345</v>
      </c>
      <c r="P73" s="26">
        <f t="shared" si="16"/>
        <v>1</v>
      </c>
      <c r="Q73" s="26">
        <f t="shared" si="17"/>
        <v>0.5004992734104544</v>
      </c>
      <c r="R73" s="66"/>
    </row>
    <row r="74" spans="1:18" ht="15.75">
      <c r="A74" s="107"/>
      <c r="B74" s="109"/>
      <c r="C74" s="68" t="s">
        <v>128</v>
      </c>
      <c r="D74" s="5" t="s">
        <v>93</v>
      </c>
      <c r="E74" s="47">
        <v>1509662.02</v>
      </c>
      <c r="F74" s="43">
        <v>5484388.19</v>
      </c>
      <c r="G74" s="43">
        <v>2328885.01</v>
      </c>
      <c r="H74" s="43">
        <v>152175.22</v>
      </c>
      <c r="I74" s="43">
        <v>2328885.01</v>
      </c>
      <c r="J74" s="43">
        <v>152175.22</v>
      </c>
      <c r="K74" s="43">
        <f t="shared" si="21"/>
        <v>819222.9899999998</v>
      </c>
      <c r="L74" s="43">
        <f>I74-G74</f>
        <v>0</v>
      </c>
      <c r="M74" s="43">
        <f t="shared" si="19"/>
        <v>-3155503.1800000006</v>
      </c>
      <c r="N74" s="43">
        <f t="shared" si="20"/>
        <v>0</v>
      </c>
      <c r="O74" s="26">
        <f t="shared" si="15"/>
        <v>1.542653242346257</v>
      </c>
      <c r="P74" s="26">
        <f t="shared" si="16"/>
        <v>1</v>
      </c>
      <c r="Q74" s="26">
        <f t="shared" si="17"/>
        <v>0.42463898056056454</v>
      </c>
      <c r="R74" s="66"/>
    </row>
    <row r="75" spans="1:18" ht="31.5">
      <c r="A75" s="108"/>
      <c r="B75" s="110"/>
      <c r="C75" s="68" t="s">
        <v>124</v>
      </c>
      <c r="D75" s="5" t="s">
        <v>123</v>
      </c>
      <c r="E75" s="47">
        <v>4.06</v>
      </c>
      <c r="F75" s="43">
        <v>0</v>
      </c>
      <c r="G75" s="43">
        <v>0</v>
      </c>
      <c r="H75" s="43">
        <v>0</v>
      </c>
      <c r="I75" s="43">
        <v>387.89</v>
      </c>
      <c r="J75" s="43">
        <v>0</v>
      </c>
      <c r="K75" s="43">
        <f t="shared" si="21"/>
        <v>383.83</v>
      </c>
      <c r="L75" s="43">
        <f>I75-G75</f>
        <v>387.89</v>
      </c>
      <c r="M75" s="43">
        <f t="shared" si="19"/>
        <v>387.89</v>
      </c>
      <c r="N75" s="43">
        <f t="shared" si="20"/>
        <v>0</v>
      </c>
      <c r="O75" s="27">
        <f t="shared" si="15"/>
        <v>95.53940886699507</v>
      </c>
      <c r="P75" s="26">
        <f t="shared" si="16"/>
      </c>
      <c r="Q75" s="27">
        <f t="shared" si="17"/>
      </c>
      <c r="R75" s="66"/>
    </row>
    <row r="76" spans="1:18" ht="15.75" customHeight="1">
      <c r="A76" s="107"/>
      <c r="B76" s="109"/>
      <c r="C76" s="68" t="s">
        <v>94</v>
      </c>
      <c r="D76" s="22" t="s">
        <v>95</v>
      </c>
      <c r="E76" s="47">
        <v>49651.11</v>
      </c>
      <c r="F76" s="43">
        <v>0</v>
      </c>
      <c r="G76" s="43">
        <v>0</v>
      </c>
      <c r="H76" s="43">
        <v>0</v>
      </c>
      <c r="I76" s="43">
        <v>214766.09</v>
      </c>
      <c r="J76" s="43">
        <v>55846</v>
      </c>
      <c r="K76" s="43">
        <f t="shared" si="21"/>
        <v>165114.97999999998</v>
      </c>
      <c r="L76" s="43">
        <f>I76-G76</f>
        <v>214766.09</v>
      </c>
      <c r="M76" s="43">
        <f>I76-F76</f>
        <v>214766.09</v>
      </c>
      <c r="N76" s="43">
        <f t="shared" si="20"/>
        <v>55846</v>
      </c>
      <c r="O76" s="26">
        <f t="shared" si="15"/>
        <v>4.325504303931976</v>
      </c>
      <c r="P76" s="26">
        <f t="shared" si="16"/>
      </c>
      <c r="Q76" s="26">
        <f t="shared" si="17"/>
      </c>
      <c r="R76" s="66"/>
    </row>
    <row r="77" spans="1:18" ht="31.5">
      <c r="A77" s="107"/>
      <c r="B77" s="109"/>
      <c r="C77" s="68" t="s">
        <v>96</v>
      </c>
      <c r="D77" s="4" t="s">
        <v>97</v>
      </c>
      <c r="E77" s="47">
        <v>322697.95</v>
      </c>
      <c r="F77" s="42">
        <v>8006.87</v>
      </c>
      <c r="G77" s="42">
        <v>8006.87</v>
      </c>
      <c r="H77" s="42">
        <v>0</v>
      </c>
      <c r="I77" s="42">
        <v>159777.43</v>
      </c>
      <c r="J77" s="42">
        <v>-30</v>
      </c>
      <c r="K77" s="43">
        <f t="shared" si="14"/>
        <v>-162920.52000000002</v>
      </c>
      <c r="L77" s="43">
        <f t="shared" si="18"/>
        <v>151770.56</v>
      </c>
      <c r="M77" s="43">
        <f t="shared" si="19"/>
        <v>151770.56</v>
      </c>
      <c r="N77" s="43">
        <f t="shared" si="20"/>
        <v>-30</v>
      </c>
      <c r="O77" s="26">
        <f t="shared" si="15"/>
        <v>0.4951299814578927</v>
      </c>
      <c r="P77" s="26">
        <f t="shared" si="16"/>
        <v>19.955042357375604</v>
      </c>
      <c r="Q77" s="26">
        <f t="shared" si="17"/>
        <v>19.955042357375604</v>
      </c>
      <c r="R77" s="66"/>
    </row>
    <row r="78" spans="1:18" ht="15.75">
      <c r="A78" s="107"/>
      <c r="B78" s="109"/>
      <c r="C78" s="68" t="s">
        <v>98</v>
      </c>
      <c r="D78" s="4" t="s">
        <v>99</v>
      </c>
      <c r="E78" s="47">
        <v>-338202.97</v>
      </c>
      <c r="F78" s="43">
        <v>0</v>
      </c>
      <c r="G78" s="43">
        <v>0</v>
      </c>
      <c r="H78" s="43">
        <v>0</v>
      </c>
      <c r="I78" s="43">
        <v>-274454.66</v>
      </c>
      <c r="J78" s="43">
        <v>-991.99</v>
      </c>
      <c r="K78" s="43">
        <f t="shared" si="14"/>
        <v>63748.31</v>
      </c>
      <c r="L78" s="43">
        <f t="shared" si="18"/>
        <v>-274454.66</v>
      </c>
      <c r="M78" s="43">
        <f t="shared" si="19"/>
        <v>-274454.66</v>
      </c>
      <c r="N78" s="43">
        <f t="shared" si="20"/>
        <v>-991.99</v>
      </c>
      <c r="O78" s="26">
        <f t="shared" si="15"/>
        <v>0.8115087221144155</v>
      </c>
      <c r="P78" s="26">
        <f t="shared" si="16"/>
      </c>
      <c r="Q78" s="26">
        <f t="shared" si="17"/>
      </c>
      <c r="R78" s="66"/>
    </row>
    <row r="79" spans="1:18" ht="29.25" customHeight="1">
      <c r="A79" s="100" t="s">
        <v>100</v>
      </c>
      <c r="B79" s="100"/>
      <c r="C79" s="101"/>
      <c r="D79" s="100"/>
      <c r="E79" s="55">
        <f>E69+E70</f>
        <v>18154933.1</v>
      </c>
      <c r="F79" s="55">
        <f>F69+F70</f>
        <v>54599768.190000005</v>
      </c>
      <c r="G79" s="55">
        <f>G69+G70</f>
        <v>21398820.17</v>
      </c>
      <c r="H79" s="55">
        <f>H69+H70</f>
        <v>3612748.55</v>
      </c>
      <c r="I79" s="55">
        <f>I69+I70</f>
        <v>19721060</v>
      </c>
      <c r="J79" s="55">
        <f>J69+J70</f>
        <v>2383605.15</v>
      </c>
      <c r="K79" s="55">
        <f>K69+K70</f>
        <v>1547920.2299999986</v>
      </c>
      <c r="L79" s="55">
        <f>L69+L70</f>
        <v>-1677760.17</v>
      </c>
      <c r="M79" s="55">
        <f>M69+M70</f>
        <v>-34878708.190000005</v>
      </c>
      <c r="N79" s="55">
        <f>N69+N70</f>
        <v>-1229143.4000000001</v>
      </c>
      <c r="O79" s="33">
        <f t="shared" si="15"/>
        <v>1.0862645371025905</v>
      </c>
      <c r="P79" s="33">
        <f t="shared" si="16"/>
        <v>0.9215956694494712</v>
      </c>
      <c r="Q79" s="33">
        <f t="shared" si="17"/>
        <v>0.3611931085746245</v>
      </c>
      <c r="R79" s="78"/>
    </row>
    <row r="80" spans="1:18" ht="15.75">
      <c r="A80" s="13" t="s">
        <v>101</v>
      </c>
      <c r="B80" s="14"/>
      <c r="C80" s="79"/>
      <c r="D80" s="15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16"/>
      <c r="P80" s="17"/>
      <c r="Q80" s="16"/>
      <c r="R80" s="66"/>
    </row>
  </sheetData>
  <sheetProtection/>
  <mergeCells count="36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58:A59"/>
    <mergeCell ref="B58:B59"/>
    <mergeCell ref="A30:A37"/>
    <mergeCell ref="B30:B37"/>
    <mergeCell ref="A38:A47"/>
    <mergeCell ref="B38:B47"/>
    <mergeCell ref="A48:A49"/>
    <mergeCell ref="B48:B49"/>
    <mergeCell ref="A55:A57"/>
    <mergeCell ref="B55:B57"/>
    <mergeCell ref="B50:B54"/>
    <mergeCell ref="A50:A54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79:D79"/>
    <mergeCell ref="A60:A68"/>
    <mergeCell ref="B60:B68"/>
    <mergeCell ref="A69:D69"/>
    <mergeCell ref="A70:A78"/>
    <mergeCell ref="B70:B78"/>
  </mergeCells>
  <printOptions/>
  <pageMargins left="0" right="0" top="0.87" bottom="0.43" header="0.19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2023-06-19T03:42:34Z</cp:lastPrinted>
  <dcterms:created xsi:type="dcterms:W3CDTF">2015-02-26T11:08:47Z</dcterms:created>
  <dcterms:modified xsi:type="dcterms:W3CDTF">2023-06-19T03:52:01Z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