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30" activeTab="0"/>
  </bookViews>
  <sheets>
    <sheet name="на 26.06.2023" sheetId="1" r:id="rId1"/>
  </sheets>
  <definedNames>
    <definedName name="_xlfn.IFERROR" hidden="1">#NAME?</definedName>
    <definedName name="_xlnm._FilterDatabase" localSheetId="0" hidden="1">'на 26.06.2023'!$A$4:$R$82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'на 26.06.2023'!$3:$4</definedName>
    <definedName name="о">#REF!</definedName>
    <definedName name="_xlnm.Print_Area" localSheetId="0">'на 26.06.2023'!$A$1:$Q$81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<sst xmlns="http://schemas.openxmlformats.org/spreadsheetml/2006/main" count="195" uniqueCount="160">
  <si>
    <t>тыс. руб.</t>
  </si>
  <si>
    <t>Код адм.</t>
  </si>
  <si>
    <t xml:space="preserve">Администраторы, кураторы доходов    </t>
  </si>
  <si>
    <t>Код вида доходов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</si>
  <si>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</si>
  <si>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</si>
  <si>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</si>
  <si>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</si>
  <si>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</si>
  <si>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1 03 02000 01 0000 110</t>
  </si>
  <si>
    <t>Акцизы по подакцизным товарам</t>
  </si>
  <si>
    <t>ИТОГО ПО АДМИНИСТРАТОРУ</t>
  </si>
  <si>
    <t>182</t>
  </si>
  <si>
    <t>ДЭиП</t>
  </si>
  <si>
    <t>1 01 02000 01 0000 110</t>
  </si>
  <si>
    <t>НДФЛ</t>
  </si>
  <si>
    <t>1 05 02000 02 0000 110</t>
  </si>
  <si>
    <t>ЕНВД</t>
  </si>
  <si>
    <t>1 05 03000 01 0000 110</t>
  </si>
  <si>
    <t>Единый сельскохозяйственный налог</t>
  </si>
  <si>
    <t>1 05 04000 01 0000 110</t>
  </si>
  <si>
    <t>ДЗО</t>
  </si>
  <si>
    <t>1 06 01020 04 0000 110</t>
  </si>
  <si>
    <t>Налог на имущество физических лиц</t>
  </si>
  <si>
    <t>1 06 06000 00 0000 110</t>
  </si>
  <si>
    <t xml:space="preserve">Земельный налог </t>
  </si>
  <si>
    <t>ДОБ</t>
  </si>
  <si>
    <t>1 08 03010 01 0000 110</t>
  </si>
  <si>
    <t>Государственная пошлина (мировые судьи)</t>
  </si>
  <si>
    <t>1 09 00000 00 0000 000</t>
  </si>
  <si>
    <t>Задолженность по отмененным налогам</t>
  </si>
  <si>
    <t>318</t>
  </si>
  <si>
    <t>ДФ</t>
  </si>
  <si>
    <t xml:space="preserve"> 1 08 07110-120 01 0000 110, 1 08 02020 01 0000 110</t>
  </si>
  <si>
    <t>1 08 07130 01 0000 110</t>
  </si>
  <si>
    <t>Госпошлина за регистрацию СМИ</t>
  </si>
  <si>
    <t>951</t>
  </si>
  <si>
    <t>1 08 07150 01 0000 110</t>
  </si>
  <si>
    <t>944</t>
  </si>
  <si>
    <t>1 08 07173 01 0000 110</t>
  </si>
  <si>
    <t>Госпошлина за выдачу спец. разрешения (опасн., тяжеловесн., крупногабар. груз)</t>
  </si>
  <si>
    <t>НЕНАЛОГОВЫЕ ДОХОДЫ</t>
  </si>
  <si>
    <t>1 11 07014 04 0000 120</t>
  </si>
  <si>
    <t>Доходы от перечисления части прибыли МУП</t>
  </si>
  <si>
    <t>1 11 09044 04 0000 120</t>
  </si>
  <si>
    <t>Плата по договорам на размещение рекламных конструкций</t>
  </si>
  <si>
    <t>1 17 05040 04 0000 180</t>
  </si>
  <si>
    <t>Плата за размещение НТО</t>
  </si>
  <si>
    <t>163</t>
  </si>
  <si>
    <t>ДИО</t>
  </si>
  <si>
    <t>1 11 01040 04 0000 120</t>
  </si>
  <si>
    <t>Дивиденды по акциям</t>
  </si>
  <si>
    <t>1 11 05074 04 0000 120</t>
  </si>
  <si>
    <t>Доходы от сдачи в аренду имущества казны</t>
  </si>
  <si>
    <t>Прочие поступления от использования имущества</t>
  </si>
  <si>
    <t>1 14 02043 04 0000 410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</si>
  <si>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</si>
  <si>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</si>
  <si>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</si>
  <si>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</si>
  <si>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</si>
  <si>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</si>
  <si>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</si>
  <si>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</si>
  <si>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>1 14 06012 04 0000 430</t>
  </si>
  <si>
    <t xml:space="preserve">Доходы от продажи земельных участков, государственная собственность на которые не разграничена </t>
  </si>
  <si>
    <t>1 14 06312 04 0000 430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</si>
  <si>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</si>
  <si>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</si>
  <si>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</si>
  <si>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</si>
  <si>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</si>
  <si>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1 11 05092 04 0000 120</t>
  </si>
  <si>
    <t>1 16 00000 00 0000 000</t>
  </si>
  <si>
    <t>Штрафы, санкции, возмещение ущерба</t>
  </si>
  <si>
    <t>УЖО</t>
  </si>
  <si>
    <t>Плата за найм</t>
  </si>
  <si>
    <t>1 14 01040 04 0000 410</t>
  </si>
  <si>
    <t>Доходы от продажи квартир</t>
  </si>
  <si>
    <t>915, 048</t>
  </si>
  <si>
    <t>Уэкол.</t>
  </si>
  <si>
    <t>1 12 00000 00 0000 120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</si>
  <si>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</si>
  <si>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</si>
  <si>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</si>
  <si>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1 17 01040 04 0000 180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</si>
  <si>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</si>
  <si>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</si>
  <si>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</si>
  <si>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</si>
  <si>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</si>
  <si>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</si>
  <si>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</si>
  <si>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</si>
  <si>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2 07 04050 04 0000 150</t>
  </si>
  <si>
    <t>Прочие безвозмездные поступления в бюджеты городских округов</t>
  </si>
  <si>
    <t>2 18 04000 00 0000 000</t>
  </si>
  <si>
    <t>Доходы бюджетов городских округов от возврата бюджетными и автономными учреждениями остатков субсидий прошлых лет</t>
  </si>
  <si>
    <t>2 19 04000 00 0000 000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</si>
  <si>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</si>
  <si>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</si>
  <si>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</si>
  <si>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</si>
  <si>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</si>
  <si>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</si>
  <si>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</si>
  <si>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</si>
  <si>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1 11 05000 04 0000 120</t>
  </si>
  <si>
    <t>1 11 05300 00 0000 120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</si>
  <si>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</si>
  <si>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</si>
  <si>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</si>
  <si>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</si>
  <si>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1 13 02000 04 0010 130</t>
  </si>
  <si>
    <t>1 13 02000 04 0015 130</t>
  </si>
  <si>
    <t>1 13 02000 04 0020 130</t>
  </si>
  <si>
    <t>1 13 00000 04 0000 130</t>
  </si>
  <si>
    <t>1 17 05040 04 2000 180</t>
  </si>
  <si>
    <t>1 17 05040 04 1000 180</t>
  </si>
  <si>
    <t>1 14 02 04 3 04 3 000 410</t>
  </si>
  <si>
    <t>1 14 02 04 3 04 1 000 410</t>
  </si>
  <si>
    <t>1 14 02 04 3 04 2 000 410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</si>
  <si>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</si>
  <si>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</si>
  <si>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2 03 04099 04 0 000 150</t>
  </si>
  <si>
    <t>2 02 10000 00 0000 000</t>
  </si>
  <si>
    <t>2 02 20000 00 0000 000</t>
  </si>
  <si>
    <t>2 02 30000 00 0000 000</t>
  </si>
  <si>
    <t>2 02 40000 00 0000 000</t>
  </si>
  <si>
    <t>1 13 02994 04 0030 130</t>
  </si>
  <si>
    <t>1 11 05012 04 1000 120</t>
  </si>
  <si>
    <t xml:space="preserve">год </t>
  </si>
  <si>
    <t>Доходы от компенсации затрат государства (лпд )</t>
  </si>
  <si>
    <t>1 11 05024 04 1000 120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</si>
  <si>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</si>
  <si>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</si>
  <si>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</si>
  <si>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</si>
  <si>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</si>
  <si>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</si>
  <si>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1 05 01000 01 0000 110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</si>
  <si>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</si>
  <si>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</si>
  <si>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</si>
  <si>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</si>
  <si>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</si>
  <si>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1 06 04000 00 0000 110</t>
  </si>
  <si>
    <t>Инициативные платежи</t>
  </si>
  <si>
    <t>1 17 15020 04 0000 180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</si>
  <si>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</si>
  <si>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</si>
  <si>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</si>
  <si>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</si>
  <si>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1 11 05400 00 0000 120</t>
  </si>
  <si>
    <t>январь-июнь</t>
  </si>
  <si>
    <t>июнь</t>
  </si>
  <si>
    <t>факта за июня от плана июня</t>
  </si>
  <si>
    <t>Факт с нач. 2022 года      (по 23.06.22 вкл.)</t>
  </si>
  <si>
    <t>с нач. года на 26.06.2023 (по 23.06.2023 вкл.)</t>
  </si>
  <si>
    <t>1 11 05012 04 1020 120,  1 11 05024 04 1020 120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</si>
</sst>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Times New Roman"/>
      <family val="1"/>
    </font>
    <font>
      <sz val="8"/>
      <name val="Arial Cyr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4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5" fontId="4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left"/>
    </xf>
    <xf numFmtId="4" fontId="4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6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166" fontId="6" fillId="0" borderId="12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0" xfId="144" applyFont="1" applyFill="1" applyBorder="1" applyAlignment="1" applyProtection="1">
      <alignment horizontal="center" vertical="top" wrapText="1"/>
      <protection/>
    </xf>
    <xf numFmtId="166" fontId="4" fillId="0" borderId="10" xfId="0" applyNumberFormat="1" applyFont="1" applyFill="1" applyBorder="1" applyAlignment="1">
      <alignment horizontal="left" wrapText="1"/>
    </xf>
    <xf numFmtId="166" fontId="8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166" fontId="8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13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9" xfId="139"/>
    <cellStyle name="Плохой" xfId="140"/>
    <cellStyle name="Пояснение" xfId="141"/>
    <cellStyle name="Примечание" xfId="142"/>
    <cellStyle name="Percent" xfId="143"/>
    <cellStyle name="Процентный 2" xfId="144"/>
    <cellStyle name="Процентный 2 2" xfId="145"/>
    <cellStyle name="Связанная ячейка" xfId="146"/>
    <cellStyle name="Текст предупреждения" xfId="147"/>
    <cellStyle name="Comma" xfId="148"/>
    <cellStyle name="Comma [0]" xfId="149"/>
    <cellStyle name="Финансовый 2" xfId="150"/>
    <cellStyle name="Финансовый 3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="89" zoomScaleNormal="89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3" sqref="D23"/>
    </sheetView>
  </sheetViews>
  <sheetFormatPr defaultColWidth="9.00390625" defaultRowHeight="12.75"/>
  <cols>
    <col min="1" max="2" width="9.125" style="32" customWidth="1"/>
    <col min="3" max="3" width="17.75390625" style="103" hidden="1" customWidth="1"/>
    <col min="4" max="4" width="67.625" style="32" customWidth="1"/>
    <col min="5" max="5" width="14.625" style="61" customWidth="1"/>
    <col min="6" max="6" width="15.625" style="35" customWidth="1"/>
    <col min="7" max="7" width="13.375" style="35" customWidth="1"/>
    <col min="8" max="8" width="14.375" style="35" customWidth="1"/>
    <col min="9" max="9" width="16.25390625" style="35" customWidth="1"/>
    <col min="10" max="10" width="13.875" style="35" customWidth="1"/>
    <col min="11" max="11" width="15.125" style="35" customWidth="1"/>
    <col min="12" max="12" width="14.375" style="35" customWidth="1"/>
    <col min="13" max="13" width="15.625" style="35" customWidth="1"/>
    <col min="14" max="14" width="13.75390625" style="35" customWidth="1"/>
    <col min="15" max="15" width="13.125" style="32" customWidth="1"/>
    <col min="16" max="16" width="10.125" style="32" customWidth="1"/>
    <col min="17" max="17" width="9.25390625" style="32" customWidth="1"/>
    <col min="18" max="18" width="14.125" style="32" customWidth="1"/>
    <col min="19" max="19" width="9.125" style="32" customWidth="1"/>
    <col min="20" max="20" width="16.625" style="32" customWidth="1"/>
    <col min="21" max="21" width="9.125" style="32" customWidth="1"/>
    <col min="22" max="22" width="15.75390625" style="32" customWidth="1"/>
    <col min="23" max="16384" width="9.125" style="32" customWidth="1"/>
  </cols>
  <sheetData>
    <row r="1" spans="1:18" ht="20.25">
      <c r="A1" s="128" t="s">
        <v>135</v>
      </c>
      <c r="B1" s="128"/>
      <c r="C1" s="129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62"/>
    </row>
    <row r="2" spans="1:18" ht="20.25" customHeight="1">
      <c r="A2" s="20"/>
      <c r="B2" s="21"/>
      <c r="C2" s="91"/>
      <c r="D2" s="19"/>
      <c r="E2" s="37"/>
      <c r="F2" s="37"/>
      <c r="G2" s="37"/>
      <c r="H2" s="37"/>
      <c r="I2" s="37"/>
      <c r="J2" s="37"/>
      <c r="K2" s="37"/>
      <c r="L2" s="37"/>
      <c r="M2" s="37"/>
      <c r="N2" s="37"/>
      <c r="O2" s="19"/>
      <c r="P2" s="18"/>
      <c r="Q2" s="18" t="s">
        <v>0</v>
      </c>
      <c r="R2" s="62"/>
    </row>
    <row r="3" spans="1:18" ht="20.25" customHeight="1">
      <c r="A3" s="130" t="s">
        <v>1</v>
      </c>
      <c r="B3" s="131" t="s">
        <v>2</v>
      </c>
      <c r="C3" s="132" t="s">
        <v>3</v>
      </c>
      <c r="D3" s="134" t="s">
        <v>4</v>
      </c>
      <c r="E3" s="136" t="s">
        <v>157</v>
      </c>
      <c r="F3" s="105" t="s">
        <v>134</v>
      </c>
      <c r="G3" s="107"/>
      <c r="H3" s="106"/>
      <c r="I3" s="105" t="s">
        <v>136</v>
      </c>
      <c r="J3" s="106"/>
      <c r="K3" s="105" t="s">
        <v>5</v>
      </c>
      <c r="L3" s="107"/>
      <c r="M3" s="107"/>
      <c r="N3" s="106"/>
      <c r="O3" s="108" t="s">
        <v>151</v>
      </c>
      <c r="P3" s="138" t="s">
        <v>149</v>
      </c>
      <c r="Q3" s="108" t="s">
        <v>150</v>
      </c>
      <c r="R3" s="62"/>
    </row>
    <row r="4" spans="1:18" ht="63">
      <c r="A4" s="130"/>
      <c r="B4" s="131"/>
      <c r="C4" s="133"/>
      <c r="D4" s="135"/>
      <c r="E4" s="137"/>
      <c r="F4" s="38" t="s">
        <v>131</v>
      </c>
      <c r="G4" s="38" t="s">
        <v>154</v>
      </c>
      <c r="H4" s="38" t="s">
        <v>155</v>
      </c>
      <c r="I4" s="40" t="s">
        <v>158</v>
      </c>
      <c r="J4" s="38" t="s">
        <v>155</v>
      </c>
      <c r="K4" s="38" t="s">
        <v>137</v>
      </c>
      <c r="L4" s="38" t="s">
        <v>6</v>
      </c>
      <c r="M4" s="38" t="s">
        <v>138</v>
      </c>
      <c r="N4" s="38" t="s">
        <v>156</v>
      </c>
      <c r="O4" s="108"/>
      <c r="P4" s="138"/>
      <c r="Q4" s="108"/>
      <c r="R4" s="16"/>
    </row>
    <row r="5" spans="1:20" ht="29.25" customHeight="1">
      <c r="A5" s="71"/>
      <c r="B5" s="72"/>
      <c r="C5" s="92"/>
      <c r="D5" s="73" t="s">
        <v>7</v>
      </c>
      <c r="E5" s="52">
        <f>E17+E19+E21+E18+E20</f>
        <v>6723658.989999997</v>
      </c>
      <c r="F5" s="52">
        <f>F17+F19+F21+F18+F20</f>
        <v>20002935.000000004</v>
      </c>
      <c r="G5" s="52">
        <f>G17+G19+G21+G18+G20</f>
        <v>7774039.000000001</v>
      </c>
      <c r="H5" s="52">
        <f>H17+H19+H21+H18+H20</f>
        <v>1171786.0000000002</v>
      </c>
      <c r="I5" s="52">
        <f>I17+I19+I21+I18+I20</f>
        <v>5973314.8900000015</v>
      </c>
      <c r="J5" s="52">
        <f>J17+J19+J21+J18+J20</f>
        <v>83841.90000000001</v>
      </c>
      <c r="K5" s="52">
        <f>K17+K19+K21+K18+K20</f>
        <v>-750344.1000000002</v>
      </c>
      <c r="L5" s="74">
        <f>I5-G5</f>
        <v>-1800724.1099999994</v>
      </c>
      <c r="M5" s="74">
        <f>I5-F5</f>
        <v>-14029620.110000003</v>
      </c>
      <c r="N5" s="74">
        <f>J5-H5</f>
        <v>-1087944.1000000003</v>
      </c>
      <c r="O5" s="29">
        <f aca="true" t="shared" si="0" ref="O5:O36">_xlfn.IFERROR(I5/E5,"")</f>
        <v>0.8884024158399508</v>
      </c>
      <c r="P5" s="29">
        <f aca="true" t="shared" si="1" ref="P5:P36">_xlfn.IFERROR(I5/G5,"")</f>
        <v>0.7683669827228807</v>
      </c>
      <c r="Q5" s="29">
        <f aca="true" t="shared" si="2" ref="Q5:Q36">_xlfn.IFERROR(I5/F5,"")</f>
        <v>0.2986219217329857</v>
      </c>
      <c r="R5" s="69"/>
      <c r="T5" s="35"/>
    </row>
    <row r="6" spans="1:23" ht="16.5" customHeight="1">
      <c r="A6" s="115" t="s">
        <v>12</v>
      </c>
      <c r="B6" s="86" t="s">
        <v>13</v>
      </c>
      <c r="C6" s="92" t="s">
        <v>14</v>
      </c>
      <c r="D6" s="2" t="s">
        <v>15</v>
      </c>
      <c r="E6" s="55">
        <v>5122014.62</v>
      </c>
      <c r="F6" s="41">
        <f>14235121.9+613644.6</f>
        <v>14848766.5</v>
      </c>
      <c r="G6" s="41">
        <v>5815657.500000001</v>
      </c>
      <c r="H6" s="41">
        <v>1129862.4000000001</v>
      </c>
      <c r="I6" s="41">
        <v>4249156.38</v>
      </c>
      <c r="J6" s="41">
        <v>38522.91</v>
      </c>
      <c r="K6" s="41">
        <f aca="true" t="shared" si="3" ref="K6:K59">I6-E6</f>
        <v>-872858.2400000002</v>
      </c>
      <c r="L6" s="41">
        <f aca="true" t="shared" si="4" ref="L6:L66">I6-G6</f>
        <v>-1566501.120000001</v>
      </c>
      <c r="M6" s="41">
        <f aca="true" t="shared" si="5" ref="M6:M66">I6-F6</f>
        <v>-10599610.120000001</v>
      </c>
      <c r="N6" s="41">
        <f>J6-H6</f>
        <v>-1091339.4900000002</v>
      </c>
      <c r="O6" s="24">
        <f t="shared" si="0"/>
        <v>0.8295869292149736</v>
      </c>
      <c r="P6" s="24">
        <f t="shared" si="1"/>
        <v>0.7306407538614507</v>
      </c>
      <c r="Q6" s="24">
        <f t="shared" si="2"/>
        <v>0.28616224654081535</v>
      </c>
      <c r="W6" s="35"/>
    </row>
    <row r="7" spans="1:23" ht="16.5" customHeight="1">
      <c r="A7" s="110"/>
      <c r="B7" s="86" t="s">
        <v>8</v>
      </c>
      <c r="C7" s="92" t="s">
        <v>9</v>
      </c>
      <c r="D7" s="1" t="s">
        <v>10</v>
      </c>
      <c r="E7" s="56">
        <v>29341.89</v>
      </c>
      <c r="F7" s="42">
        <v>80057.5</v>
      </c>
      <c r="G7" s="42">
        <v>37510</v>
      </c>
      <c r="H7" s="42">
        <v>6620</v>
      </c>
      <c r="I7" s="42">
        <v>30978.03</v>
      </c>
      <c r="J7" s="42">
        <v>36.8</v>
      </c>
      <c r="K7" s="42">
        <f>I7-E7</f>
        <v>1636.1399999999994</v>
      </c>
      <c r="L7" s="42">
        <f>I7-G7</f>
        <v>-6531.970000000001</v>
      </c>
      <c r="M7" s="42">
        <f>I7-F7</f>
        <v>-49079.47</v>
      </c>
      <c r="N7" s="42">
        <f>J7-H7</f>
        <v>-6583.2</v>
      </c>
      <c r="O7" s="24">
        <f t="shared" si="0"/>
        <v>1.0557612341945253</v>
      </c>
      <c r="P7" s="24">
        <f t="shared" si="1"/>
        <v>0.8258605705145294</v>
      </c>
      <c r="Q7" s="24">
        <f t="shared" si="2"/>
        <v>0.38694725665927615</v>
      </c>
      <c r="W7" s="35"/>
    </row>
    <row r="8" spans="1:23" ht="16.5" customHeight="1">
      <c r="A8" s="110"/>
      <c r="B8" s="86" t="s">
        <v>13</v>
      </c>
      <c r="C8" s="93" t="s">
        <v>140</v>
      </c>
      <c r="D8" s="23" t="s">
        <v>139</v>
      </c>
      <c r="E8" s="55"/>
      <c r="F8" s="41">
        <v>1204375.9</v>
      </c>
      <c r="G8" s="41">
        <v>648721.5</v>
      </c>
      <c r="H8" s="41">
        <v>0</v>
      </c>
      <c r="I8" s="41">
        <v>539544.1599999999</v>
      </c>
      <c r="J8" s="41">
        <v>14196.85</v>
      </c>
      <c r="K8" s="41">
        <f>I8-E8</f>
        <v>539544.1599999999</v>
      </c>
      <c r="L8" s="41">
        <f>I8-G8</f>
        <v>-109177.34000000008</v>
      </c>
      <c r="M8" s="41">
        <f>I8-F8</f>
        <v>-664831.74</v>
      </c>
      <c r="N8" s="41">
        <f aca="true" t="shared" si="6" ref="N8:N66">J8-H8</f>
        <v>14196.85</v>
      </c>
      <c r="O8" s="24">
        <f t="shared" si="0"/>
      </c>
      <c r="P8" s="24">
        <f t="shared" si="1"/>
        <v>0.8317038359295937</v>
      </c>
      <c r="Q8" s="24">
        <f t="shared" si="2"/>
        <v>0.44798651318081006</v>
      </c>
      <c r="W8" s="35"/>
    </row>
    <row r="9" spans="1:23" ht="16.5" customHeight="1">
      <c r="A9" s="110"/>
      <c r="B9" s="86" t="s">
        <v>13</v>
      </c>
      <c r="C9" s="92" t="s">
        <v>16</v>
      </c>
      <c r="D9" s="2" t="s">
        <v>17</v>
      </c>
      <c r="E9" s="55">
        <v>804.26</v>
      </c>
      <c r="F9" s="41"/>
      <c r="G9" s="41"/>
      <c r="H9" s="41"/>
      <c r="I9" s="41">
        <v>-2058.3500000000004</v>
      </c>
      <c r="J9" s="41">
        <v>1315.8799999999999</v>
      </c>
      <c r="K9" s="41">
        <f t="shared" si="3"/>
        <v>-2862.6100000000006</v>
      </c>
      <c r="L9" s="41">
        <f>I9-G9</f>
        <v>-2058.3500000000004</v>
      </c>
      <c r="M9" s="41">
        <f t="shared" si="5"/>
        <v>-2058.3500000000004</v>
      </c>
      <c r="N9" s="41">
        <f t="shared" si="6"/>
        <v>1315.8799999999999</v>
      </c>
      <c r="O9" s="24">
        <f t="shared" si="0"/>
        <v>-2.5593091786238285</v>
      </c>
      <c r="P9" s="24">
        <f t="shared" si="1"/>
      </c>
      <c r="Q9" s="24">
        <f t="shared" si="2"/>
      </c>
      <c r="W9" s="35"/>
    </row>
    <row r="10" spans="1:23" ht="16.5" customHeight="1">
      <c r="A10" s="110"/>
      <c r="B10" s="86" t="s">
        <v>13</v>
      </c>
      <c r="C10" s="92" t="s">
        <v>18</v>
      </c>
      <c r="D10" s="2" t="s">
        <v>19</v>
      </c>
      <c r="E10" s="55">
        <v>2174.06</v>
      </c>
      <c r="F10" s="41">
        <v>4690.3</v>
      </c>
      <c r="G10" s="41">
        <v>2720.4</v>
      </c>
      <c r="H10" s="41">
        <v>0</v>
      </c>
      <c r="I10" s="41">
        <v>-1468.09</v>
      </c>
      <c r="J10" s="41">
        <v>-13.46</v>
      </c>
      <c r="K10" s="41">
        <f t="shared" si="3"/>
        <v>-3642.1499999999996</v>
      </c>
      <c r="L10" s="41">
        <f t="shared" si="4"/>
        <v>-4188.49</v>
      </c>
      <c r="M10" s="41">
        <f t="shared" si="5"/>
        <v>-6158.39</v>
      </c>
      <c r="N10" s="41">
        <f t="shared" si="6"/>
        <v>-13.46</v>
      </c>
      <c r="O10" s="24">
        <f t="shared" si="0"/>
        <v>-0.6752757513592081</v>
      </c>
      <c r="P10" s="24">
        <f t="shared" si="1"/>
        <v>-0.5396596088810468</v>
      </c>
      <c r="Q10" s="24">
        <f t="shared" si="2"/>
        <v>-0.31300556467603347</v>
      </c>
      <c r="W10" s="35"/>
    </row>
    <row r="11" spans="1:23" ht="16.5" customHeight="1">
      <c r="A11" s="110"/>
      <c r="B11" s="86" t="s">
        <v>13</v>
      </c>
      <c r="C11" s="92" t="s">
        <v>20</v>
      </c>
      <c r="D11" s="2" t="s">
        <v>142</v>
      </c>
      <c r="E11" s="55">
        <v>117685.14</v>
      </c>
      <c r="F11" s="41">
        <v>314766.5</v>
      </c>
      <c r="G11" s="41">
        <v>125647</v>
      </c>
      <c r="H11" s="41">
        <v>573</v>
      </c>
      <c r="I11" s="41">
        <v>102124.81999999999</v>
      </c>
      <c r="J11" s="41">
        <v>3598.01</v>
      </c>
      <c r="K11" s="41">
        <f t="shared" si="3"/>
        <v>-15560.320000000007</v>
      </c>
      <c r="L11" s="41">
        <f t="shared" si="4"/>
        <v>-23522.180000000008</v>
      </c>
      <c r="M11" s="41">
        <f t="shared" si="5"/>
        <v>-212641.68</v>
      </c>
      <c r="N11" s="41">
        <f t="shared" si="6"/>
        <v>3025.01</v>
      </c>
      <c r="O11" s="24">
        <f t="shared" si="0"/>
        <v>0.8677800782664659</v>
      </c>
      <c r="P11" s="24">
        <f t="shared" si="1"/>
        <v>0.812791550932374</v>
      </c>
      <c r="Q11" s="24">
        <f t="shared" si="2"/>
        <v>0.324446280020269</v>
      </c>
      <c r="W11" s="35"/>
    </row>
    <row r="12" spans="1:23" ht="16.5" customHeight="1">
      <c r="A12" s="110"/>
      <c r="B12" s="86" t="s">
        <v>21</v>
      </c>
      <c r="C12" s="92" t="s">
        <v>22</v>
      </c>
      <c r="D12" s="2" t="s">
        <v>23</v>
      </c>
      <c r="E12" s="55">
        <v>52645.89</v>
      </c>
      <c r="F12" s="41">
        <v>1083466.2</v>
      </c>
      <c r="G12" s="41">
        <v>67900</v>
      </c>
      <c r="H12" s="41">
        <v>8300</v>
      </c>
      <c r="I12" s="41">
        <v>35532.84</v>
      </c>
      <c r="J12" s="41">
        <v>6418.49</v>
      </c>
      <c r="K12" s="41">
        <f t="shared" si="3"/>
        <v>-17113.050000000003</v>
      </c>
      <c r="L12" s="41">
        <f t="shared" si="4"/>
        <v>-32367.160000000003</v>
      </c>
      <c r="M12" s="41">
        <f t="shared" si="5"/>
        <v>-1047933.36</v>
      </c>
      <c r="N12" s="41">
        <f t="shared" si="6"/>
        <v>-1881.5100000000002</v>
      </c>
      <c r="O12" s="24">
        <f t="shared" si="0"/>
        <v>0.67494043694579</v>
      </c>
      <c r="P12" s="24">
        <f t="shared" si="1"/>
        <v>0.5233113402061855</v>
      </c>
      <c r="Q12" s="24">
        <f t="shared" si="2"/>
        <v>0.03279552237070247</v>
      </c>
      <c r="W12" s="35"/>
    </row>
    <row r="13" spans="1:23" ht="16.5" customHeight="1">
      <c r="A13" s="110"/>
      <c r="B13" s="86" t="s">
        <v>105</v>
      </c>
      <c r="C13" s="92" t="s">
        <v>146</v>
      </c>
      <c r="D13" s="2" t="s">
        <v>145</v>
      </c>
      <c r="E13" s="55">
        <v>325684.23</v>
      </c>
      <c r="F13" s="41"/>
      <c r="G13" s="41"/>
      <c r="H13" s="41"/>
      <c r="I13" s="41">
        <v>0</v>
      </c>
      <c r="J13" s="41">
        <v>0</v>
      </c>
      <c r="K13" s="41">
        <f t="shared" si="3"/>
        <v>-325684.23</v>
      </c>
      <c r="L13" s="41">
        <f t="shared" si="4"/>
        <v>0</v>
      </c>
      <c r="M13" s="41">
        <f t="shared" si="5"/>
        <v>0</v>
      </c>
      <c r="N13" s="41">
        <f t="shared" si="6"/>
        <v>0</v>
      </c>
      <c r="O13" s="24">
        <f t="shared" si="0"/>
        <v>0</v>
      </c>
      <c r="P13" s="24">
        <f t="shared" si="1"/>
      </c>
      <c r="Q13" s="24">
        <f t="shared" si="2"/>
      </c>
      <c r="W13" s="35"/>
    </row>
    <row r="14" spans="1:23" ht="16.5" customHeight="1">
      <c r="A14" s="110"/>
      <c r="B14" s="86" t="s">
        <v>21</v>
      </c>
      <c r="C14" s="92" t="s">
        <v>24</v>
      </c>
      <c r="D14" s="2" t="s">
        <v>25</v>
      </c>
      <c r="E14" s="55">
        <v>971621.86</v>
      </c>
      <c r="F14" s="41">
        <v>2237196.9</v>
      </c>
      <c r="G14" s="41">
        <v>967800</v>
      </c>
      <c r="H14" s="41">
        <v>7000</v>
      </c>
      <c r="I14" s="41">
        <v>928399.16</v>
      </c>
      <c r="J14" s="41">
        <v>6549.01</v>
      </c>
      <c r="K14" s="41">
        <f t="shared" si="3"/>
        <v>-43222.69999999995</v>
      </c>
      <c r="L14" s="41">
        <f t="shared" si="4"/>
        <v>-39400.83999999997</v>
      </c>
      <c r="M14" s="41">
        <f t="shared" si="5"/>
        <v>-1308797.7399999998</v>
      </c>
      <c r="N14" s="41">
        <f t="shared" si="6"/>
        <v>-450.9899999999998</v>
      </c>
      <c r="O14" s="24">
        <f t="shared" si="0"/>
        <v>0.9555148954759005</v>
      </c>
      <c r="P14" s="24">
        <f t="shared" si="1"/>
        <v>0.9592882413721844</v>
      </c>
      <c r="Q14" s="24">
        <f t="shared" si="2"/>
        <v>0.41498321403896105</v>
      </c>
      <c r="W14" s="35"/>
    </row>
    <row r="15" spans="1:23" ht="16.5" customHeight="1">
      <c r="A15" s="110"/>
      <c r="B15" s="86" t="s">
        <v>26</v>
      </c>
      <c r="C15" s="92" t="s">
        <v>27</v>
      </c>
      <c r="D15" s="2" t="s">
        <v>28</v>
      </c>
      <c r="E15" s="55">
        <v>101014.18000000001</v>
      </c>
      <c r="F15" s="41">
        <v>228385.6</v>
      </c>
      <c r="G15" s="41">
        <v>107470.6</v>
      </c>
      <c r="H15" s="41">
        <v>19325.6</v>
      </c>
      <c r="I15" s="41">
        <v>90963.04</v>
      </c>
      <c r="J15" s="41">
        <v>13180.810000000001</v>
      </c>
      <c r="K15" s="41">
        <f t="shared" si="3"/>
        <v>-10051.140000000014</v>
      </c>
      <c r="L15" s="41">
        <f t="shared" si="4"/>
        <v>-16507.560000000012</v>
      </c>
      <c r="M15" s="41">
        <f t="shared" si="5"/>
        <v>-137422.56</v>
      </c>
      <c r="N15" s="41">
        <f t="shared" si="6"/>
        <v>-6144.789999999997</v>
      </c>
      <c r="O15" s="24">
        <f t="shared" si="0"/>
        <v>0.9004977321005821</v>
      </c>
      <c r="P15" s="24">
        <f t="shared" si="1"/>
        <v>0.8463992943186321</v>
      </c>
      <c r="Q15" s="24">
        <f t="shared" si="2"/>
        <v>0.39828710741833107</v>
      </c>
      <c r="R15" s="62"/>
      <c r="W15" s="35"/>
    </row>
    <row r="16" spans="1:23" ht="16.5" customHeight="1">
      <c r="A16" s="110"/>
      <c r="B16" s="86" t="s">
        <v>21</v>
      </c>
      <c r="C16" s="92" t="s">
        <v>29</v>
      </c>
      <c r="D16" s="2" t="s">
        <v>30</v>
      </c>
      <c r="E16" s="55">
        <v>18.06</v>
      </c>
      <c r="F16" s="41"/>
      <c r="G16" s="41"/>
      <c r="H16" s="41"/>
      <c r="I16" s="41">
        <v>-0.1</v>
      </c>
      <c r="J16" s="41">
        <v>0</v>
      </c>
      <c r="K16" s="41">
        <f t="shared" si="3"/>
        <v>-18.16</v>
      </c>
      <c r="L16" s="41">
        <f t="shared" si="4"/>
        <v>-0.1</v>
      </c>
      <c r="M16" s="41">
        <f t="shared" si="5"/>
        <v>-0.1</v>
      </c>
      <c r="N16" s="41">
        <f t="shared" si="6"/>
        <v>0</v>
      </c>
      <c r="O16" s="24">
        <f t="shared" si="0"/>
        <v>-0.005537098560354375</v>
      </c>
      <c r="P16" s="24">
        <f t="shared" si="1"/>
      </c>
      <c r="Q16" s="24">
        <f t="shared" si="2"/>
      </c>
      <c r="R16" s="62"/>
      <c r="W16" s="35"/>
    </row>
    <row r="17" spans="1:23" ht="15.75">
      <c r="A17" s="111"/>
      <c r="B17" s="75"/>
      <c r="C17" s="94"/>
      <c r="D17" s="76" t="s">
        <v>11</v>
      </c>
      <c r="E17" s="59">
        <f>SUM(E6:E16)</f>
        <v>6723004.189999998</v>
      </c>
      <c r="F17" s="59">
        <f>SUM(F6:F16)</f>
        <v>20001705.400000002</v>
      </c>
      <c r="G17" s="59">
        <f>SUM(G6:G16)</f>
        <v>7773427.000000001</v>
      </c>
      <c r="H17" s="59">
        <f>SUM(H6:H16)</f>
        <v>1171681.0000000002</v>
      </c>
      <c r="I17" s="59">
        <f>SUM(I6:I16)</f>
        <v>5973171.8900000015</v>
      </c>
      <c r="J17" s="59">
        <f>SUM(J6:J16)</f>
        <v>83805.3</v>
      </c>
      <c r="K17" s="59">
        <f>SUM(K6:K16)</f>
        <v>-749832.3000000003</v>
      </c>
      <c r="L17" s="59">
        <f t="shared" si="4"/>
        <v>-1800255.1099999994</v>
      </c>
      <c r="M17" s="59">
        <f t="shared" si="5"/>
        <v>-14028533.510000002</v>
      </c>
      <c r="N17" s="59">
        <f>J17-H17</f>
        <v>-1087875.7000000002</v>
      </c>
      <c r="O17" s="77">
        <f t="shared" si="0"/>
        <v>0.8884676732590291</v>
      </c>
      <c r="P17" s="77">
        <f t="shared" si="1"/>
        <v>0.7684090800621143</v>
      </c>
      <c r="Q17" s="77">
        <f t="shared" si="2"/>
        <v>0.2986331300530004</v>
      </c>
      <c r="R17" s="64"/>
      <c r="W17" s="35"/>
    </row>
    <row r="18" spans="1:23" ht="16.5" customHeight="1">
      <c r="A18" s="90" t="s">
        <v>102</v>
      </c>
      <c r="B18" s="86" t="s">
        <v>32</v>
      </c>
      <c r="C18" s="92" t="s">
        <v>34</v>
      </c>
      <c r="D18" s="2" t="s">
        <v>35</v>
      </c>
      <c r="E18" s="55">
        <v>28</v>
      </c>
      <c r="F18" s="41">
        <v>140</v>
      </c>
      <c r="G18" s="41">
        <v>70</v>
      </c>
      <c r="H18" s="41">
        <v>15</v>
      </c>
      <c r="I18" s="41">
        <v>28</v>
      </c>
      <c r="J18" s="41">
        <v>0</v>
      </c>
      <c r="K18" s="41">
        <f t="shared" si="3"/>
        <v>0</v>
      </c>
      <c r="L18" s="41">
        <f t="shared" si="4"/>
        <v>-42</v>
      </c>
      <c r="M18" s="41">
        <f t="shared" si="5"/>
        <v>-112</v>
      </c>
      <c r="N18" s="41">
        <f t="shared" si="6"/>
        <v>-15</v>
      </c>
      <c r="O18" s="24">
        <f t="shared" si="0"/>
        <v>1</v>
      </c>
      <c r="P18" s="24">
        <f t="shared" si="1"/>
        <v>0.4</v>
      </c>
      <c r="Q18" s="24">
        <f t="shared" si="2"/>
        <v>0.2</v>
      </c>
      <c r="R18" s="62"/>
      <c r="W18" s="35"/>
    </row>
    <row r="19" spans="1:23" ht="16.5" customHeight="1">
      <c r="A19" s="90" t="s">
        <v>31</v>
      </c>
      <c r="B19" s="86" t="s">
        <v>32</v>
      </c>
      <c r="C19" s="92" t="s">
        <v>33</v>
      </c>
      <c r="D19" s="2" t="s">
        <v>141</v>
      </c>
      <c r="E19" s="55">
        <v>118.2</v>
      </c>
      <c r="F19" s="41"/>
      <c r="G19" s="41"/>
      <c r="H19" s="41"/>
      <c r="I19" s="41">
        <v>53.6</v>
      </c>
      <c r="J19" s="41">
        <v>1.6</v>
      </c>
      <c r="K19" s="41">
        <f t="shared" si="3"/>
        <v>-64.6</v>
      </c>
      <c r="L19" s="41">
        <f t="shared" si="4"/>
        <v>53.6</v>
      </c>
      <c r="M19" s="41">
        <f t="shared" si="5"/>
        <v>53.6</v>
      </c>
      <c r="N19" s="41">
        <f t="shared" si="6"/>
        <v>1.6</v>
      </c>
      <c r="O19" s="24">
        <f t="shared" si="0"/>
        <v>0.45346869712351945</v>
      </c>
      <c r="P19" s="24">
        <f t="shared" si="1"/>
      </c>
      <c r="Q19" s="24">
        <f t="shared" si="2"/>
      </c>
      <c r="R19" s="62"/>
      <c r="W19" s="35"/>
    </row>
    <row r="20" spans="1:23" ht="16.5" customHeight="1">
      <c r="A20" s="87" t="s">
        <v>38</v>
      </c>
      <c r="B20" s="88" t="s">
        <v>104</v>
      </c>
      <c r="C20" s="92" t="s">
        <v>39</v>
      </c>
      <c r="D20" s="2" t="s">
        <v>40</v>
      </c>
      <c r="E20" s="55">
        <v>473.6</v>
      </c>
      <c r="F20" s="41">
        <v>969.6</v>
      </c>
      <c r="G20" s="41">
        <v>502</v>
      </c>
      <c r="H20" s="41">
        <v>80</v>
      </c>
      <c r="I20" s="41">
        <v>6.4</v>
      </c>
      <c r="J20" s="41">
        <v>0</v>
      </c>
      <c r="K20" s="41">
        <f t="shared" si="3"/>
        <v>-467.20000000000005</v>
      </c>
      <c r="L20" s="41">
        <f t="shared" si="4"/>
        <v>-495.6</v>
      </c>
      <c r="M20" s="41">
        <f t="shared" si="5"/>
        <v>-963.2</v>
      </c>
      <c r="N20" s="41">
        <f t="shared" si="6"/>
        <v>-80</v>
      </c>
      <c r="O20" s="24">
        <f t="shared" si="0"/>
        <v>0.013513513513513514</v>
      </c>
      <c r="P20" s="24">
        <f t="shared" si="1"/>
        <v>0.012749003984063745</v>
      </c>
      <c r="Q20" s="24">
        <f t="shared" si="2"/>
        <v>0.006600660066006601</v>
      </c>
      <c r="R20" s="62"/>
      <c r="W20" s="35"/>
    </row>
    <row r="21" spans="1:23" ht="16.5" customHeight="1">
      <c r="A21" s="90" t="s">
        <v>36</v>
      </c>
      <c r="B21" s="86" t="s">
        <v>13</v>
      </c>
      <c r="C21" s="92" t="s">
        <v>37</v>
      </c>
      <c r="D21" s="2" t="s">
        <v>106</v>
      </c>
      <c r="E21" s="55">
        <v>35</v>
      </c>
      <c r="F21" s="41">
        <v>120</v>
      </c>
      <c r="G21" s="41">
        <v>40</v>
      </c>
      <c r="H21" s="41">
        <v>10</v>
      </c>
      <c r="I21" s="41">
        <v>55</v>
      </c>
      <c r="J21" s="41">
        <v>35</v>
      </c>
      <c r="K21" s="41">
        <f t="shared" si="3"/>
        <v>20</v>
      </c>
      <c r="L21" s="41">
        <f t="shared" si="4"/>
        <v>15</v>
      </c>
      <c r="M21" s="41">
        <f t="shared" si="5"/>
        <v>-65</v>
      </c>
      <c r="N21" s="41">
        <f t="shared" si="6"/>
        <v>25</v>
      </c>
      <c r="O21" s="24">
        <f t="shared" si="0"/>
        <v>1.5714285714285714</v>
      </c>
      <c r="P21" s="24">
        <f t="shared" si="1"/>
        <v>1.375</v>
      </c>
      <c r="Q21" s="24">
        <f t="shared" si="2"/>
        <v>0.4583333333333333</v>
      </c>
      <c r="R21" s="62"/>
      <c r="W21" s="35"/>
    </row>
    <row r="22" spans="1:23" ht="27.75" customHeight="1">
      <c r="A22" s="116"/>
      <c r="B22" s="116"/>
      <c r="C22" s="117"/>
      <c r="D22" s="30" t="s">
        <v>41</v>
      </c>
      <c r="E22" s="52">
        <f aca="true" t="shared" si="7" ref="E22:K22">E26+E29+E37+E47+E49+E55+E58+E60+E69</f>
        <v>2690814.38</v>
      </c>
      <c r="F22" s="74">
        <f t="shared" si="7"/>
        <v>6567862.7299999995</v>
      </c>
      <c r="G22" s="74">
        <f t="shared" si="7"/>
        <v>3106603.5100000002</v>
      </c>
      <c r="H22" s="74">
        <f t="shared" si="7"/>
        <v>616166.2</v>
      </c>
      <c r="I22" s="74">
        <f t="shared" si="7"/>
        <v>3318894.6200000006</v>
      </c>
      <c r="J22" s="74">
        <f t="shared" si="7"/>
        <v>448120.45</v>
      </c>
      <c r="K22" s="74">
        <f t="shared" si="7"/>
        <v>607832.04</v>
      </c>
      <c r="L22" s="74">
        <f t="shared" si="4"/>
        <v>212291.11000000034</v>
      </c>
      <c r="M22" s="74">
        <f t="shared" si="5"/>
        <v>-3248968.109999999</v>
      </c>
      <c r="N22" s="74">
        <f t="shared" si="6"/>
        <v>-168045.74999999994</v>
      </c>
      <c r="O22" s="29">
        <f t="shared" si="0"/>
        <v>1.233416412766458</v>
      </c>
      <c r="P22" s="29">
        <f t="shared" si="1"/>
        <v>1.0683354375016465</v>
      </c>
      <c r="Q22" s="29">
        <f t="shared" si="2"/>
        <v>0.5053233839435011</v>
      </c>
      <c r="R22" s="69"/>
      <c r="V22" s="3"/>
      <c r="W22" s="35"/>
    </row>
    <row r="23" spans="1:18" ht="16.5" customHeight="1">
      <c r="A23" s="109" t="s">
        <v>38</v>
      </c>
      <c r="B23" s="112" t="s">
        <v>104</v>
      </c>
      <c r="C23" s="95" t="s">
        <v>72</v>
      </c>
      <c r="D23" s="4" t="s">
        <v>143</v>
      </c>
      <c r="E23" s="57">
        <v>52376.46</v>
      </c>
      <c r="F23" s="43">
        <f>135475.5+25225.6</f>
        <v>160701.1</v>
      </c>
      <c r="G23" s="43">
        <v>74050</v>
      </c>
      <c r="H23" s="43">
        <v>13600</v>
      </c>
      <c r="I23" s="43">
        <v>74910.65</v>
      </c>
      <c r="J23" s="43">
        <v>10904.05</v>
      </c>
      <c r="K23" s="43">
        <f t="shared" si="3"/>
        <v>22534.189999999995</v>
      </c>
      <c r="L23" s="43">
        <f t="shared" si="4"/>
        <v>860.6499999999942</v>
      </c>
      <c r="M23" s="43">
        <f t="shared" si="5"/>
        <v>-85790.45000000001</v>
      </c>
      <c r="N23" s="43">
        <f t="shared" si="6"/>
        <v>-2695.9500000000007</v>
      </c>
      <c r="O23" s="25">
        <f t="shared" si="0"/>
        <v>1.4302350712514744</v>
      </c>
      <c r="P23" s="25">
        <f t="shared" si="1"/>
        <v>1.011622552329507</v>
      </c>
      <c r="Q23" s="25">
        <f t="shared" si="2"/>
        <v>0.46614895604323797</v>
      </c>
      <c r="R23" s="63"/>
    </row>
    <row r="24" spans="1:18" ht="16.5" customHeight="1">
      <c r="A24" s="110"/>
      <c r="B24" s="113"/>
      <c r="C24" s="92" t="s">
        <v>42</v>
      </c>
      <c r="D24" s="4" t="s">
        <v>43</v>
      </c>
      <c r="E24" s="46">
        <v>3971.23</v>
      </c>
      <c r="F24" s="41">
        <v>39519.1</v>
      </c>
      <c r="G24" s="41">
        <v>39519.1</v>
      </c>
      <c r="H24" s="41">
        <v>0</v>
      </c>
      <c r="I24" s="41">
        <v>39519.14</v>
      </c>
      <c r="J24" s="41">
        <v>0</v>
      </c>
      <c r="K24" s="41">
        <f t="shared" si="3"/>
        <v>35547.909999999996</v>
      </c>
      <c r="L24" s="41">
        <f t="shared" si="4"/>
        <v>0.040000000000873115</v>
      </c>
      <c r="M24" s="41">
        <f t="shared" si="5"/>
        <v>0.040000000000873115</v>
      </c>
      <c r="N24" s="41">
        <f t="shared" si="6"/>
        <v>0</v>
      </c>
      <c r="O24" s="25">
        <f t="shared" si="0"/>
        <v>9.951360157935953</v>
      </c>
      <c r="P24" s="25">
        <f t="shared" si="1"/>
        <v>1.0000010121687994</v>
      </c>
      <c r="Q24" s="25">
        <f t="shared" si="2"/>
        <v>1.0000010121687994</v>
      </c>
      <c r="R24" s="63"/>
    </row>
    <row r="25" spans="1:18" ht="16.5" customHeight="1">
      <c r="A25" s="110"/>
      <c r="B25" s="113"/>
      <c r="C25" s="92" t="s">
        <v>73</v>
      </c>
      <c r="D25" s="4" t="s">
        <v>74</v>
      </c>
      <c r="E25" s="46">
        <v>36997.58</v>
      </c>
      <c r="F25" s="43">
        <f>110819.4+14383.9-8662.9</f>
        <v>116540.4</v>
      </c>
      <c r="G25" s="43">
        <v>48150</v>
      </c>
      <c r="H25" s="43">
        <v>8450</v>
      </c>
      <c r="I25" s="43">
        <v>53414.079999999994</v>
      </c>
      <c r="J25" s="43">
        <v>9322.6</v>
      </c>
      <c r="K25" s="43">
        <f t="shared" si="3"/>
        <v>16416.499999999993</v>
      </c>
      <c r="L25" s="43">
        <f t="shared" si="4"/>
        <v>5264.0799999999945</v>
      </c>
      <c r="M25" s="43">
        <f t="shared" si="5"/>
        <v>-63126.32</v>
      </c>
      <c r="N25" s="43">
        <f t="shared" si="6"/>
        <v>872.6000000000004</v>
      </c>
      <c r="O25" s="25">
        <f t="shared" si="0"/>
        <v>1.4437182107586495</v>
      </c>
      <c r="P25" s="25">
        <f t="shared" si="1"/>
        <v>1.1093266874350984</v>
      </c>
      <c r="Q25" s="25">
        <f t="shared" si="2"/>
        <v>0.4583310165401869</v>
      </c>
      <c r="R25" s="63"/>
    </row>
    <row r="26" spans="1:18" ht="15.75">
      <c r="A26" s="111"/>
      <c r="B26" s="114"/>
      <c r="C26" s="94"/>
      <c r="D26" s="76" t="s">
        <v>11</v>
      </c>
      <c r="E26" s="59">
        <f aca="true" t="shared" si="8" ref="E26:L26">SUM(E23:E25)</f>
        <v>93345.27</v>
      </c>
      <c r="F26" s="59">
        <f t="shared" si="8"/>
        <v>316760.6</v>
      </c>
      <c r="G26" s="59">
        <f t="shared" si="8"/>
        <v>161719.1</v>
      </c>
      <c r="H26" s="59">
        <f t="shared" si="8"/>
        <v>22050</v>
      </c>
      <c r="I26" s="59">
        <f t="shared" si="8"/>
        <v>167843.87</v>
      </c>
      <c r="J26" s="59">
        <f t="shared" si="8"/>
        <v>20226.65</v>
      </c>
      <c r="K26" s="59">
        <f t="shared" si="8"/>
        <v>74498.59999999998</v>
      </c>
      <c r="L26" s="59">
        <f t="shared" si="8"/>
        <v>6124.7699999999895</v>
      </c>
      <c r="M26" s="59">
        <f t="shared" si="5"/>
        <v>-148916.72999999998</v>
      </c>
      <c r="N26" s="59">
        <f t="shared" si="6"/>
        <v>-1823.3499999999985</v>
      </c>
      <c r="O26" s="78">
        <f t="shared" si="0"/>
        <v>1.7980972147812095</v>
      </c>
      <c r="P26" s="78">
        <f t="shared" si="1"/>
        <v>1.0378728919465914</v>
      </c>
      <c r="Q26" s="78">
        <f t="shared" si="2"/>
        <v>0.5298760957012962</v>
      </c>
      <c r="R26" s="64"/>
    </row>
    <row r="27" spans="1:18" ht="16.5" customHeight="1">
      <c r="A27" s="104">
        <v>951</v>
      </c>
      <c r="B27" s="104" t="s">
        <v>13</v>
      </c>
      <c r="C27" s="95" t="s">
        <v>118</v>
      </c>
      <c r="D27" s="5" t="s">
        <v>45</v>
      </c>
      <c r="E27" s="57">
        <v>36592.13</v>
      </c>
      <c r="F27" s="41">
        <v>91712.1</v>
      </c>
      <c r="G27" s="41">
        <v>41823</v>
      </c>
      <c r="H27" s="41">
        <v>11120</v>
      </c>
      <c r="I27" s="41">
        <v>51622.33</v>
      </c>
      <c r="J27" s="41">
        <v>15192.56</v>
      </c>
      <c r="K27" s="41">
        <f t="shared" si="3"/>
        <v>15030.200000000004</v>
      </c>
      <c r="L27" s="41">
        <f t="shared" si="4"/>
        <v>9799.330000000002</v>
      </c>
      <c r="M27" s="41">
        <f t="shared" si="5"/>
        <v>-40089.770000000004</v>
      </c>
      <c r="N27" s="41">
        <f t="shared" si="6"/>
        <v>4072.5599999999995</v>
      </c>
      <c r="O27" s="25">
        <f t="shared" si="0"/>
        <v>1.4107495245562367</v>
      </c>
      <c r="P27" s="25">
        <f t="shared" si="1"/>
        <v>1.2343048083590369</v>
      </c>
      <c r="Q27" s="25">
        <f t="shared" si="2"/>
        <v>0.5628737102301659</v>
      </c>
      <c r="R27" s="62"/>
    </row>
    <row r="28" spans="1:18" ht="16.5" customHeight="1">
      <c r="A28" s="104"/>
      <c r="B28" s="104"/>
      <c r="C28" s="92" t="s">
        <v>117</v>
      </c>
      <c r="D28" s="4" t="s">
        <v>47</v>
      </c>
      <c r="E28" s="57">
        <v>3940.62</v>
      </c>
      <c r="F28" s="41">
        <v>14224.9</v>
      </c>
      <c r="G28" s="41">
        <v>2909.6000000000004</v>
      </c>
      <c r="H28" s="41">
        <v>287.5</v>
      </c>
      <c r="I28" s="41">
        <v>4635.44</v>
      </c>
      <c r="J28" s="41">
        <v>760.93</v>
      </c>
      <c r="K28" s="41">
        <f t="shared" si="3"/>
        <v>694.8199999999997</v>
      </c>
      <c r="L28" s="41">
        <f t="shared" si="4"/>
        <v>1725.8399999999992</v>
      </c>
      <c r="M28" s="41">
        <f t="shared" si="5"/>
        <v>-9589.46</v>
      </c>
      <c r="N28" s="41">
        <f t="shared" si="6"/>
        <v>473.42999999999995</v>
      </c>
      <c r="O28" s="25">
        <f t="shared" si="0"/>
        <v>1.1763225076257036</v>
      </c>
      <c r="P28" s="25">
        <f t="shared" si="1"/>
        <v>1.5931536981028316</v>
      </c>
      <c r="Q28" s="25">
        <f t="shared" si="2"/>
        <v>0.32586802016182886</v>
      </c>
      <c r="R28" s="62"/>
    </row>
    <row r="29" spans="1:18" ht="15.75">
      <c r="A29" s="104"/>
      <c r="B29" s="104"/>
      <c r="C29" s="94"/>
      <c r="D29" s="79" t="s">
        <v>11</v>
      </c>
      <c r="E29" s="59">
        <f>E27+E28</f>
        <v>40532.75</v>
      </c>
      <c r="F29" s="59">
        <f>F27+F28</f>
        <v>105937</v>
      </c>
      <c r="G29" s="59">
        <f>G27+G28</f>
        <v>44732.6</v>
      </c>
      <c r="H29" s="59">
        <f>H27+H28</f>
        <v>11407.5</v>
      </c>
      <c r="I29" s="59">
        <f>I27+I28</f>
        <v>56257.770000000004</v>
      </c>
      <c r="J29" s="59">
        <f>J27+J28</f>
        <v>15953.49</v>
      </c>
      <c r="K29" s="59">
        <f>K27+K28</f>
        <v>15725.020000000004</v>
      </c>
      <c r="L29" s="59">
        <f t="shared" si="4"/>
        <v>11525.170000000006</v>
      </c>
      <c r="M29" s="59">
        <f t="shared" si="5"/>
        <v>-49679.229999999996</v>
      </c>
      <c r="N29" s="59">
        <f t="shared" si="6"/>
        <v>4545.99</v>
      </c>
      <c r="O29" s="78">
        <f t="shared" si="0"/>
        <v>1.387958379335229</v>
      </c>
      <c r="P29" s="78">
        <f t="shared" si="1"/>
        <v>1.2576458779503092</v>
      </c>
      <c r="Q29" s="78">
        <f t="shared" si="2"/>
        <v>0.5310493028875652</v>
      </c>
      <c r="R29" s="64"/>
    </row>
    <row r="30" spans="1:18" ht="16.5" customHeight="1">
      <c r="A30" s="118" t="s">
        <v>48</v>
      </c>
      <c r="B30" s="104" t="s">
        <v>49</v>
      </c>
      <c r="C30" s="92" t="s">
        <v>50</v>
      </c>
      <c r="D30" s="4" t="s">
        <v>51</v>
      </c>
      <c r="E30" s="46"/>
      <c r="F30" s="42">
        <v>496</v>
      </c>
      <c r="G30" s="42">
        <f>H30</f>
        <v>0</v>
      </c>
      <c r="H30" s="42">
        <v>0</v>
      </c>
      <c r="I30" s="42">
        <v>3566.51</v>
      </c>
      <c r="J30" s="42">
        <v>3566.51</v>
      </c>
      <c r="K30" s="42">
        <f t="shared" si="3"/>
        <v>3566.51</v>
      </c>
      <c r="L30" s="42">
        <f t="shared" si="4"/>
        <v>3566.51</v>
      </c>
      <c r="M30" s="42">
        <f t="shared" si="5"/>
        <v>3070.51</v>
      </c>
      <c r="N30" s="42">
        <f t="shared" si="6"/>
        <v>3566.51</v>
      </c>
      <c r="O30" s="25">
        <f t="shared" si="0"/>
      </c>
      <c r="P30" s="25">
        <f t="shared" si="1"/>
      </c>
      <c r="Q30" s="25">
        <f t="shared" si="2"/>
        <v>7.1905443548387105</v>
      </c>
      <c r="R30" s="62"/>
    </row>
    <row r="31" spans="1:18" ht="16.5" customHeight="1">
      <c r="A31" s="118"/>
      <c r="B31" s="104"/>
      <c r="C31" s="92" t="s">
        <v>52</v>
      </c>
      <c r="D31" s="6" t="s">
        <v>53</v>
      </c>
      <c r="E31" s="46">
        <v>29518.33</v>
      </c>
      <c r="F31" s="42">
        <v>100081.7</v>
      </c>
      <c r="G31" s="42">
        <v>47000</v>
      </c>
      <c r="H31" s="42">
        <v>9000</v>
      </c>
      <c r="I31" s="42">
        <v>41759.56999999999</v>
      </c>
      <c r="J31" s="42">
        <v>5056.9</v>
      </c>
      <c r="K31" s="42">
        <f t="shared" si="3"/>
        <v>12241.23999999999</v>
      </c>
      <c r="L31" s="42">
        <f t="shared" si="4"/>
        <v>-5240.430000000008</v>
      </c>
      <c r="M31" s="42">
        <f t="shared" si="5"/>
        <v>-58322.130000000005</v>
      </c>
      <c r="N31" s="42">
        <f t="shared" si="6"/>
        <v>-3943.1000000000004</v>
      </c>
      <c r="O31" s="25">
        <f t="shared" si="0"/>
        <v>1.4146996120715498</v>
      </c>
      <c r="P31" s="25">
        <f t="shared" si="1"/>
        <v>0.8885014893617019</v>
      </c>
      <c r="Q31" s="25">
        <f t="shared" si="2"/>
        <v>0.417254802826091</v>
      </c>
      <c r="R31" s="62"/>
    </row>
    <row r="32" spans="1:18" ht="16.5" customHeight="1">
      <c r="A32" s="118"/>
      <c r="B32" s="104"/>
      <c r="C32" s="95" t="s">
        <v>44</v>
      </c>
      <c r="D32" s="5" t="s">
        <v>54</v>
      </c>
      <c r="E32" s="46">
        <v>1269.04</v>
      </c>
      <c r="F32" s="42">
        <v>557</v>
      </c>
      <c r="G32" s="42">
        <v>278.5</v>
      </c>
      <c r="H32" s="42">
        <v>46.5</v>
      </c>
      <c r="I32" s="42">
        <v>4230.02</v>
      </c>
      <c r="J32" s="42">
        <v>649.28</v>
      </c>
      <c r="K32" s="42">
        <f t="shared" si="3"/>
        <v>2960.9800000000005</v>
      </c>
      <c r="L32" s="42">
        <f t="shared" si="4"/>
        <v>3951.5200000000004</v>
      </c>
      <c r="M32" s="42">
        <f t="shared" si="5"/>
        <v>3673.0200000000004</v>
      </c>
      <c r="N32" s="42">
        <f t="shared" si="6"/>
        <v>602.78</v>
      </c>
      <c r="O32" s="25">
        <f t="shared" si="0"/>
        <v>3.3332440269810255</v>
      </c>
      <c r="P32" s="25">
        <f t="shared" si="1"/>
        <v>15.18858168761221</v>
      </c>
      <c r="Q32" s="25">
        <f t="shared" si="2"/>
        <v>7.594290843806105</v>
      </c>
      <c r="R32" s="62"/>
    </row>
    <row r="33" spans="1:18" ht="16.5" customHeight="1">
      <c r="A33" s="118"/>
      <c r="B33" s="104"/>
      <c r="C33" s="95" t="s">
        <v>55</v>
      </c>
      <c r="D33" s="5" t="s">
        <v>56</v>
      </c>
      <c r="E33" s="41">
        <f>E34+E36+E35</f>
        <v>30916.55</v>
      </c>
      <c r="F33" s="44">
        <f>F34+F36+F35</f>
        <v>200264</v>
      </c>
      <c r="G33" s="44">
        <f>G34+G36+G35</f>
        <v>155084.4</v>
      </c>
      <c r="H33" s="44">
        <f>H34+H36+H35</f>
        <v>9353.7</v>
      </c>
      <c r="I33" s="44">
        <v>154881.9</v>
      </c>
      <c r="J33" s="44">
        <v>5745.92</v>
      </c>
      <c r="K33" s="44">
        <f t="shared" si="3"/>
        <v>123965.34999999999</v>
      </c>
      <c r="L33" s="44">
        <f t="shared" si="4"/>
        <v>-202.5</v>
      </c>
      <c r="M33" s="44">
        <f t="shared" si="5"/>
        <v>-45382.100000000006</v>
      </c>
      <c r="N33" s="44">
        <f t="shared" si="6"/>
        <v>-3607.7800000000007</v>
      </c>
      <c r="O33" s="25">
        <f t="shared" si="0"/>
        <v>5.009676047295057</v>
      </c>
      <c r="P33" s="25">
        <f t="shared" si="1"/>
        <v>0.9986942593839225</v>
      </c>
      <c r="Q33" s="25">
        <f t="shared" si="2"/>
        <v>0.7733886270123437</v>
      </c>
      <c r="R33" s="62"/>
    </row>
    <row r="34" spans="1:18" ht="16.5" customHeight="1">
      <c r="A34" s="118"/>
      <c r="B34" s="104"/>
      <c r="C34" s="96" t="s">
        <v>120</v>
      </c>
      <c r="D34" s="7" t="s">
        <v>57</v>
      </c>
      <c r="E34" s="58">
        <v>13610.88</v>
      </c>
      <c r="F34" s="45">
        <f>48594.6+85630.3+29092.9</f>
        <v>163317.8</v>
      </c>
      <c r="G34" s="45">
        <v>137357.7</v>
      </c>
      <c r="H34" s="45">
        <v>5011.1</v>
      </c>
      <c r="I34" s="45">
        <v>134396.61</v>
      </c>
      <c r="J34" s="45">
        <v>3394.62</v>
      </c>
      <c r="K34" s="45">
        <f t="shared" si="3"/>
        <v>120785.72999999998</v>
      </c>
      <c r="L34" s="45">
        <f t="shared" si="4"/>
        <v>-2961.0900000000256</v>
      </c>
      <c r="M34" s="45">
        <f t="shared" si="5"/>
        <v>-28921.190000000002</v>
      </c>
      <c r="N34" s="45">
        <f t="shared" si="6"/>
        <v>-1616.4800000000005</v>
      </c>
      <c r="O34" s="25">
        <f t="shared" si="0"/>
        <v>9.874204313020172</v>
      </c>
      <c r="P34" s="25">
        <f t="shared" si="1"/>
        <v>0.9784424899368581</v>
      </c>
      <c r="Q34" s="25">
        <f t="shared" si="2"/>
        <v>0.8229146486176032</v>
      </c>
      <c r="R34" s="64"/>
    </row>
    <row r="35" spans="1:18" ht="16.5" customHeight="1">
      <c r="A35" s="118"/>
      <c r="B35" s="104"/>
      <c r="C35" s="96" t="s">
        <v>121</v>
      </c>
      <c r="D35" s="7" t="s">
        <v>58</v>
      </c>
      <c r="E35" s="58">
        <v>1307.34</v>
      </c>
      <c r="F35" s="45">
        <v>1867.8</v>
      </c>
      <c r="G35" s="45">
        <v>160.3</v>
      </c>
      <c r="H35" s="45">
        <v>0</v>
      </c>
      <c r="I35" s="45">
        <v>918.33</v>
      </c>
      <c r="J35" s="45">
        <v>25</v>
      </c>
      <c r="K35" s="45">
        <f t="shared" si="3"/>
        <v>-389.0099999999999</v>
      </c>
      <c r="L35" s="45">
        <f t="shared" si="4"/>
        <v>758.03</v>
      </c>
      <c r="M35" s="45">
        <f t="shared" si="5"/>
        <v>-949.4699999999999</v>
      </c>
      <c r="N35" s="45">
        <f t="shared" si="6"/>
        <v>25</v>
      </c>
      <c r="O35" s="25">
        <f t="shared" si="0"/>
        <v>0.7024415989719583</v>
      </c>
      <c r="P35" s="25">
        <f t="shared" si="1"/>
        <v>5.72882096069869</v>
      </c>
      <c r="Q35" s="25">
        <f t="shared" si="2"/>
        <v>0.4916639897205269</v>
      </c>
      <c r="R35" s="64"/>
    </row>
    <row r="36" spans="1:18" ht="16.5" customHeight="1">
      <c r="A36" s="118"/>
      <c r="B36" s="104"/>
      <c r="C36" s="96" t="s">
        <v>119</v>
      </c>
      <c r="D36" s="7" t="s">
        <v>59</v>
      </c>
      <c r="E36" s="59">
        <v>15998.33</v>
      </c>
      <c r="F36" s="45">
        <f>35078.4+85630.3-85630.3</f>
        <v>35078.40000000001</v>
      </c>
      <c r="G36" s="45">
        <v>17566.4</v>
      </c>
      <c r="H36" s="45">
        <v>4342.6</v>
      </c>
      <c r="I36" s="45">
        <v>19566.96</v>
      </c>
      <c r="J36" s="45">
        <v>2326.3</v>
      </c>
      <c r="K36" s="45">
        <f t="shared" si="3"/>
        <v>3568.629999999999</v>
      </c>
      <c r="L36" s="45">
        <f t="shared" si="4"/>
        <v>2000.5599999999977</v>
      </c>
      <c r="M36" s="45">
        <f t="shared" si="5"/>
        <v>-15511.44000000001</v>
      </c>
      <c r="N36" s="45">
        <f t="shared" si="6"/>
        <v>-2016.3000000000002</v>
      </c>
      <c r="O36" s="25">
        <f t="shared" si="0"/>
        <v>1.2230626571648415</v>
      </c>
      <c r="P36" s="25">
        <f t="shared" si="1"/>
        <v>1.1138855997814008</v>
      </c>
      <c r="Q36" s="25">
        <f t="shared" si="2"/>
        <v>0.5578065134099616</v>
      </c>
      <c r="R36" s="64"/>
    </row>
    <row r="37" spans="1:18" ht="15.75">
      <c r="A37" s="118"/>
      <c r="B37" s="118"/>
      <c r="C37" s="94"/>
      <c r="D37" s="79" t="s">
        <v>11</v>
      </c>
      <c r="E37" s="59">
        <f>SUM(E30:E33)</f>
        <v>61703.92</v>
      </c>
      <c r="F37" s="59">
        <f>SUM(F30:F33)</f>
        <v>301398.7</v>
      </c>
      <c r="G37" s="59">
        <f>SUM(G30:G33)</f>
        <v>202362.9</v>
      </c>
      <c r="H37" s="59">
        <f>SUM(H30:H33)</f>
        <v>18400.2</v>
      </c>
      <c r="I37" s="59">
        <f>SUM(I30:I33)</f>
        <v>204438</v>
      </c>
      <c r="J37" s="59">
        <f>SUM(J30:J33)</f>
        <v>15018.61</v>
      </c>
      <c r="K37" s="59">
        <f>SUM(K30:K33)</f>
        <v>142734.08</v>
      </c>
      <c r="L37" s="59">
        <f t="shared" si="4"/>
        <v>2075.100000000006</v>
      </c>
      <c r="M37" s="59">
        <f t="shared" si="5"/>
        <v>-96960.70000000001</v>
      </c>
      <c r="N37" s="59">
        <f t="shared" si="6"/>
        <v>-3381.59</v>
      </c>
      <c r="O37" s="78">
        <f aca="true" t="shared" si="9" ref="O37:O64">_xlfn.IFERROR(I37/E37,"")</f>
        <v>3.313209274224393</v>
      </c>
      <c r="P37" s="78">
        <f aca="true" t="shared" si="10" ref="P37:P64">_xlfn.IFERROR(I37/G37,"")</f>
        <v>1.0102543499821361</v>
      </c>
      <c r="Q37" s="78">
        <f aca="true" t="shared" si="11" ref="Q37:Q64">_xlfn.IFERROR(I37/F37,"")</f>
        <v>0.6782975507193627</v>
      </c>
      <c r="R37" s="64"/>
    </row>
    <row r="38" spans="1:18" ht="31.5">
      <c r="A38" s="118" t="s">
        <v>103</v>
      </c>
      <c r="B38" s="104" t="s">
        <v>21</v>
      </c>
      <c r="C38" s="95" t="s">
        <v>130</v>
      </c>
      <c r="D38" s="5" t="s">
        <v>61</v>
      </c>
      <c r="E38" s="57">
        <v>163705.19</v>
      </c>
      <c r="F38" s="44">
        <v>326627.4</v>
      </c>
      <c r="G38" s="44">
        <v>157000.5</v>
      </c>
      <c r="H38" s="44">
        <v>34800</v>
      </c>
      <c r="I38" s="44">
        <v>154318.67</v>
      </c>
      <c r="J38" s="44">
        <v>45244.58</v>
      </c>
      <c r="K38" s="44">
        <f t="shared" si="3"/>
        <v>-9386.51999999999</v>
      </c>
      <c r="L38" s="44">
        <f t="shared" si="4"/>
        <v>-2681.829999999987</v>
      </c>
      <c r="M38" s="44">
        <f t="shared" si="5"/>
        <v>-172308.73</v>
      </c>
      <c r="N38" s="44">
        <f t="shared" si="6"/>
        <v>10444.580000000002</v>
      </c>
      <c r="O38" s="25">
        <f t="shared" si="9"/>
        <v>0.9426620499936502</v>
      </c>
      <c r="P38" s="25">
        <f t="shared" si="10"/>
        <v>0.9829183346549852</v>
      </c>
      <c r="Q38" s="25">
        <f t="shared" si="11"/>
        <v>0.4724608835633508</v>
      </c>
      <c r="R38" s="62"/>
    </row>
    <row r="39" spans="1:18" ht="16.5" customHeight="1">
      <c r="A39" s="118"/>
      <c r="B39" s="104"/>
      <c r="C39" s="97" t="s">
        <v>159</v>
      </c>
      <c r="D39" s="5" t="s">
        <v>62</v>
      </c>
      <c r="E39" s="57">
        <v>58197.899999999994</v>
      </c>
      <c r="F39" s="44">
        <f>245061.4+9204.6</f>
        <v>254266</v>
      </c>
      <c r="G39" s="44">
        <v>110504.6</v>
      </c>
      <c r="H39" s="44">
        <v>23400</v>
      </c>
      <c r="I39" s="44">
        <v>156185.97999999998</v>
      </c>
      <c r="J39" s="44">
        <v>5939.330000000002</v>
      </c>
      <c r="K39" s="44">
        <f t="shared" si="3"/>
        <v>97988.07999999999</v>
      </c>
      <c r="L39" s="44">
        <f t="shared" si="4"/>
        <v>45681.379999999976</v>
      </c>
      <c r="M39" s="44">
        <f t="shared" si="5"/>
        <v>-98080.02000000002</v>
      </c>
      <c r="N39" s="44">
        <f t="shared" si="6"/>
        <v>-17460.67</v>
      </c>
      <c r="O39" s="25">
        <f t="shared" si="9"/>
        <v>2.6837047384871275</v>
      </c>
      <c r="P39" s="25">
        <f t="shared" si="10"/>
        <v>1.4133889448946015</v>
      </c>
      <c r="Q39" s="25">
        <f t="shared" si="11"/>
        <v>0.6142621506611186</v>
      </c>
      <c r="R39" s="62"/>
    </row>
    <row r="40" spans="1:18" ht="31.5">
      <c r="A40" s="118"/>
      <c r="B40" s="104"/>
      <c r="C40" s="92" t="s">
        <v>133</v>
      </c>
      <c r="D40" s="4" t="s">
        <v>63</v>
      </c>
      <c r="E40" s="57">
        <v>27252.6</v>
      </c>
      <c r="F40" s="41">
        <f>48566.2-5534.78</f>
        <v>43031.42</v>
      </c>
      <c r="G40" s="41">
        <v>20526</v>
      </c>
      <c r="H40" s="41">
        <v>5416</v>
      </c>
      <c r="I40" s="41">
        <v>23079.53</v>
      </c>
      <c r="J40" s="41">
        <v>8915.76</v>
      </c>
      <c r="K40" s="41">
        <f t="shared" si="3"/>
        <v>-4173.07</v>
      </c>
      <c r="L40" s="41">
        <f t="shared" si="4"/>
        <v>2553.529999999999</v>
      </c>
      <c r="M40" s="41">
        <f t="shared" si="5"/>
        <v>-19951.89</v>
      </c>
      <c r="N40" s="41">
        <f t="shared" si="6"/>
        <v>3499.76</v>
      </c>
      <c r="O40" s="25">
        <f t="shared" si="9"/>
        <v>0.8468744266602086</v>
      </c>
      <c r="P40" s="25">
        <f t="shared" si="10"/>
        <v>1.1244046575075513</v>
      </c>
      <c r="Q40" s="25">
        <f t="shared" si="11"/>
        <v>0.5363413524350347</v>
      </c>
      <c r="R40" s="62"/>
    </row>
    <row r="41" spans="1:18" ht="31.5">
      <c r="A41" s="119"/>
      <c r="B41" s="122"/>
      <c r="C41" s="98" t="s">
        <v>108</v>
      </c>
      <c r="D41" s="8" t="s">
        <v>109</v>
      </c>
      <c r="E41" s="57">
        <v>1524.27</v>
      </c>
      <c r="F41" s="41">
        <v>2948.3</v>
      </c>
      <c r="G41" s="41">
        <v>1689</v>
      </c>
      <c r="H41" s="41">
        <v>276.7</v>
      </c>
      <c r="I41" s="41">
        <v>1842.18</v>
      </c>
      <c r="J41" s="41">
        <v>41.09</v>
      </c>
      <c r="K41" s="41">
        <f t="shared" si="3"/>
        <v>317.9100000000001</v>
      </c>
      <c r="L41" s="41">
        <f t="shared" si="4"/>
        <v>153.18000000000006</v>
      </c>
      <c r="M41" s="41">
        <f t="shared" si="5"/>
        <v>-1106.1200000000001</v>
      </c>
      <c r="N41" s="41">
        <f t="shared" si="6"/>
        <v>-235.60999999999999</v>
      </c>
      <c r="O41" s="25">
        <f t="shared" si="9"/>
        <v>1.2085654116396702</v>
      </c>
      <c r="P41" s="25">
        <f t="shared" si="10"/>
        <v>1.0906927175843695</v>
      </c>
      <c r="Q41" s="25">
        <f t="shared" si="11"/>
        <v>0.6248278669063528</v>
      </c>
      <c r="R41" s="62"/>
    </row>
    <row r="42" spans="1:18" ht="16.5" customHeight="1">
      <c r="A42" s="120"/>
      <c r="B42" s="123"/>
      <c r="C42" s="99" t="s">
        <v>153</v>
      </c>
      <c r="D42" s="9" t="s">
        <v>122</v>
      </c>
      <c r="E42" s="57">
        <v>64.59</v>
      </c>
      <c r="F42" s="41">
        <v>0</v>
      </c>
      <c r="G42" s="41">
        <v>0</v>
      </c>
      <c r="H42" s="41">
        <v>0</v>
      </c>
      <c r="I42" s="41">
        <v>150.34</v>
      </c>
      <c r="J42" s="41">
        <v>6.239999999999999</v>
      </c>
      <c r="K42" s="41">
        <f t="shared" si="3"/>
        <v>85.75</v>
      </c>
      <c r="L42" s="41">
        <f t="shared" si="4"/>
        <v>150.34</v>
      </c>
      <c r="M42" s="41">
        <f t="shared" si="5"/>
        <v>150.34</v>
      </c>
      <c r="N42" s="41">
        <f t="shared" si="6"/>
        <v>6.239999999999999</v>
      </c>
      <c r="O42" s="25">
        <f t="shared" si="9"/>
        <v>2.327604892398204</v>
      </c>
      <c r="P42" s="25">
        <f t="shared" si="10"/>
      </c>
      <c r="Q42" s="25">
        <f t="shared" si="11"/>
      </c>
      <c r="R42" s="62"/>
    </row>
    <row r="43" spans="1:18" ht="27.75" customHeight="1">
      <c r="A43" s="118"/>
      <c r="B43" s="104"/>
      <c r="C43" s="95" t="s">
        <v>64</v>
      </c>
      <c r="D43" s="5" t="s">
        <v>65</v>
      </c>
      <c r="E43" s="57">
        <v>87748.48</v>
      </c>
      <c r="F43" s="42">
        <v>104142</v>
      </c>
      <c r="G43" s="42">
        <v>44440</v>
      </c>
      <c r="H43" s="42">
        <v>9600</v>
      </c>
      <c r="I43" s="42">
        <v>95318.11</v>
      </c>
      <c r="J43" s="42">
        <v>6755.1900000000005</v>
      </c>
      <c r="K43" s="42">
        <f t="shared" si="3"/>
        <v>7569.630000000005</v>
      </c>
      <c r="L43" s="42">
        <f t="shared" si="4"/>
        <v>50878.11</v>
      </c>
      <c r="M43" s="42">
        <f t="shared" si="5"/>
        <v>-8823.89</v>
      </c>
      <c r="N43" s="42">
        <f t="shared" si="6"/>
        <v>-2844.8099999999995</v>
      </c>
      <c r="O43" s="25">
        <f t="shared" si="9"/>
        <v>1.0862650840219683</v>
      </c>
      <c r="P43" s="25">
        <f t="shared" si="10"/>
        <v>2.14487196219622</v>
      </c>
      <c r="Q43" s="25">
        <f t="shared" si="11"/>
        <v>0.9152705920762036</v>
      </c>
      <c r="R43" s="62"/>
    </row>
    <row r="44" spans="1:18" ht="27.75" customHeight="1">
      <c r="A44" s="118"/>
      <c r="B44" s="104"/>
      <c r="C44" s="95" t="s">
        <v>66</v>
      </c>
      <c r="D44" s="5" t="s">
        <v>67</v>
      </c>
      <c r="E44" s="57">
        <v>23636.31</v>
      </c>
      <c r="F44" s="46">
        <v>45272.2</v>
      </c>
      <c r="G44" s="46">
        <v>12800</v>
      </c>
      <c r="H44" s="46">
        <v>2500</v>
      </c>
      <c r="I44" s="46">
        <v>42526.96</v>
      </c>
      <c r="J44" s="46">
        <v>10213.85</v>
      </c>
      <c r="K44" s="46">
        <v>5230.72</v>
      </c>
      <c r="L44" s="42">
        <f t="shared" si="4"/>
        <v>29726.96</v>
      </c>
      <c r="M44" s="42">
        <f t="shared" si="5"/>
        <v>-2745.239999999998</v>
      </c>
      <c r="N44" s="42">
        <f t="shared" si="6"/>
        <v>7713.85</v>
      </c>
      <c r="O44" s="25">
        <f t="shared" si="9"/>
        <v>1.799221621310602</v>
      </c>
      <c r="P44" s="25">
        <f t="shared" si="10"/>
        <v>3.3224187499999998</v>
      </c>
      <c r="Q44" s="25">
        <f t="shared" si="11"/>
        <v>0.9393614624427353</v>
      </c>
      <c r="R44" s="62"/>
    </row>
    <row r="45" spans="1:18" ht="16.5" customHeight="1">
      <c r="A45" s="121"/>
      <c r="B45" s="124"/>
      <c r="C45" s="92" t="s">
        <v>73</v>
      </c>
      <c r="D45" s="4" t="s">
        <v>74</v>
      </c>
      <c r="E45" s="60">
        <v>7324.400000000001</v>
      </c>
      <c r="F45" s="46">
        <v>14007.9</v>
      </c>
      <c r="G45" s="46">
        <v>5563.8</v>
      </c>
      <c r="H45" s="46">
        <v>2831.9</v>
      </c>
      <c r="I45" s="46">
        <v>4812.599999999999</v>
      </c>
      <c r="J45" s="46">
        <v>497.07</v>
      </c>
      <c r="K45" s="46">
        <v>5230.72</v>
      </c>
      <c r="L45" s="47">
        <f t="shared" si="4"/>
        <v>-751.2000000000007</v>
      </c>
      <c r="M45" s="47">
        <f t="shared" si="5"/>
        <v>-9195.3</v>
      </c>
      <c r="N45" s="47">
        <f t="shared" si="6"/>
        <v>-2334.83</v>
      </c>
      <c r="O45" s="25">
        <f t="shared" si="9"/>
        <v>0.657064059854732</v>
      </c>
      <c r="P45" s="25">
        <f t="shared" si="10"/>
        <v>0.8649843632050036</v>
      </c>
      <c r="Q45" s="25">
        <f t="shared" si="11"/>
        <v>0.343563275009102</v>
      </c>
      <c r="R45" s="62"/>
    </row>
    <row r="46" spans="1:18" ht="16.5" customHeight="1">
      <c r="A46" s="121"/>
      <c r="B46" s="124"/>
      <c r="C46" s="92" t="s">
        <v>46</v>
      </c>
      <c r="D46" s="4" t="s">
        <v>152</v>
      </c>
      <c r="E46" s="60">
        <v>-0.69</v>
      </c>
      <c r="F46" s="46">
        <v>0</v>
      </c>
      <c r="G46" s="46">
        <v>0</v>
      </c>
      <c r="H46" s="46">
        <v>0</v>
      </c>
      <c r="I46" s="46">
        <v>19560.82</v>
      </c>
      <c r="J46" s="46">
        <v>2886.37</v>
      </c>
      <c r="K46" s="46">
        <v>5230.72</v>
      </c>
      <c r="L46" s="47">
        <f t="shared" si="4"/>
        <v>19560.82</v>
      </c>
      <c r="M46" s="47">
        <f t="shared" si="5"/>
        <v>19560.82</v>
      </c>
      <c r="N46" s="47">
        <f t="shared" si="6"/>
        <v>2886.37</v>
      </c>
      <c r="O46" s="25">
        <f t="shared" si="9"/>
        <v>-28349.014492753624</v>
      </c>
      <c r="P46" s="25">
        <f t="shared" si="10"/>
      </c>
      <c r="Q46" s="25">
        <f t="shared" si="11"/>
      </c>
      <c r="R46" s="62"/>
    </row>
    <row r="47" spans="1:18" ht="15.75">
      <c r="A47" s="118"/>
      <c r="B47" s="118"/>
      <c r="C47" s="100"/>
      <c r="D47" s="79" t="s">
        <v>11</v>
      </c>
      <c r="E47" s="59">
        <f aca="true" t="shared" si="12" ref="E47:K47">SUM(E38:E46)</f>
        <v>369453.05</v>
      </c>
      <c r="F47" s="59">
        <f t="shared" si="12"/>
        <v>790295.2200000001</v>
      </c>
      <c r="G47" s="59">
        <f t="shared" si="12"/>
        <v>352523.89999999997</v>
      </c>
      <c r="H47" s="59">
        <f t="shared" si="12"/>
        <v>78824.59999999999</v>
      </c>
      <c r="I47" s="59">
        <f t="shared" si="12"/>
        <v>497795.19000000006</v>
      </c>
      <c r="J47" s="59">
        <f t="shared" si="12"/>
        <v>80499.48000000001</v>
      </c>
      <c r="K47" s="59">
        <f t="shared" si="12"/>
        <v>108093.94</v>
      </c>
      <c r="L47" s="59">
        <f t="shared" si="4"/>
        <v>145271.2900000001</v>
      </c>
      <c r="M47" s="59">
        <f t="shared" si="5"/>
        <v>-292500.03</v>
      </c>
      <c r="N47" s="59">
        <f t="shared" si="6"/>
        <v>1674.8800000000192</v>
      </c>
      <c r="O47" s="25">
        <f t="shared" si="9"/>
        <v>1.3473841669462467</v>
      </c>
      <c r="P47" s="25">
        <f t="shared" si="10"/>
        <v>1.4120891945198613</v>
      </c>
      <c r="Q47" s="25">
        <f t="shared" si="11"/>
        <v>0.629885107997996</v>
      </c>
      <c r="R47" s="64"/>
    </row>
    <row r="48" spans="1:18" ht="16.5" customHeight="1">
      <c r="A48" s="118" t="s">
        <v>68</v>
      </c>
      <c r="B48" s="104" t="s">
        <v>69</v>
      </c>
      <c r="C48" s="92" t="s">
        <v>42</v>
      </c>
      <c r="D48" s="4" t="s">
        <v>43</v>
      </c>
      <c r="E48" s="46">
        <v>8187.13</v>
      </c>
      <c r="F48" s="43">
        <v>2731.1</v>
      </c>
      <c r="G48" s="43">
        <v>2731.1</v>
      </c>
      <c r="H48" s="43">
        <v>0</v>
      </c>
      <c r="I48" s="43">
        <v>2731.14</v>
      </c>
      <c r="J48" s="43">
        <v>0</v>
      </c>
      <c r="K48" s="43">
        <f t="shared" si="3"/>
        <v>-5455.99</v>
      </c>
      <c r="L48" s="43">
        <f t="shared" si="4"/>
        <v>0.03999999999996362</v>
      </c>
      <c r="M48" s="43">
        <f t="shared" si="5"/>
        <v>0.03999999999996362</v>
      </c>
      <c r="N48" s="43">
        <f t="shared" si="6"/>
        <v>0</v>
      </c>
      <c r="O48" s="25">
        <f t="shared" si="9"/>
        <v>0.3335894263313273</v>
      </c>
      <c r="P48" s="25">
        <f t="shared" si="10"/>
        <v>1.0000146461132877</v>
      </c>
      <c r="Q48" s="25">
        <f t="shared" si="11"/>
        <v>1.0000146461132877</v>
      </c>
      <c r="R48" s="62"/>
    </row>
    <row r="49" spans="1:18" ht="15.75">
      <c r="A49" s="118"/>
      <c r="B49" s="104"/>
      <c r="C49" s="100"/>
      <c r="D49" s="80" t="s">
        <v>11</v>
      </c>
      <c r="E49" s="59">
        <f>E48</f>
        <v>8187.13</v>
      </c>
      <c r="F49" s="81">
        <f aca="true" t="shared" si="13" ref="F49:K49">SUM(F48:F48)</f>
        <v>2731.1</v>
      </c>
      <c r="G49" s="81">
        <f t="shared" si="13"/>
        <v>2731.1</v>
      </c>
      <c r="H49" s="81">
        <f t="shared" si="13"/>
        <v>0</v>
      </c>
      <c r="I49" s="81">
        <f t="shared" si="13"/>
        <v>2731.14</v>
      </c>
      <c r="J49" s="81">
        <f t="shared" si="13"/>
        <v>0</v>
      </c>
      <c r="K49" s="81">
        <f t="shared" si="13"/>
        <v>-5455.99</v>
      </c>
      <c r="L49" s="82">
        <f t="shared" si="4"/>
        <v>0.03999999999996362</v>
      </c>
      <c r="M49" s="82">
        <f t="shared" si="5"/>
        <v>0.03999999999996362</v>
      </c>
      <c r="N49" s="82">
        <f t="shared" si="6"/>
        <v>0</v>
      </c>
      <c r="O49" s="25">
        <f t="shared" si="9"/>
        <v>0.3335894263313273</v>
      </c>
      <c r="P49" s="25">
        <f t="shared" si="10"/>
        <v>1.0000146461132877</v>
      </c>
      <c r="Q49" s="25">
        <f t="shared" si="11"/>
        <v>1.0000146461132877</v>
      </c>
      <c r="R49" s="64"/>
    </row>
    <row r="50" spans="1:18" ht="22.5" hidden="1">
      <c r="A50" s="109" t="s">
        <v>71</v>
      </c>
      <c r="B50" s="112" t="s">
        <v>105</v>
      </c>
      <c r="C50" s="92" t="s">
        <v>42</v>
      </c>
      <c r="D50" s="65" t="s">
        <v>43</v>
      </c>
      <c r="E50" s="34"/>
      <c r="F50" s="66"/>
      <c r="G50" s="66"/>
      <c r="H50" s="67"/>
      <c r="I50" s="67">
        <v>0</v>
      </c>
      <c r="J50" s="67">
        <v>0</v>
      </c>
      <c r="K50" s="67">
        <f t="shared" si="3"/>
        <v>0</v>
      </c>
      <c r="L50" s="67">
        <f t="shared" si="4"/>
        <v>0</v>
      </c>
      <c r="M50" s="67">
        <f t="shared" si="5"/>
        <v>0</v>
      </c>
      <c r="N50" s="67">
        <f t="shared" si="6"/>
        <v>0</v>
      </c>
      <c r="O50" s="68">
        <f t="shared" si="9"/>
      </c>
      <c r="P50" s="68">
        <f t="shared" si="10"/>
      </c>
      <c r="Q50" s="68">
        <f t="shared" si="11"/>
      </c>
      <c r="R50" s="62"/>
    </row>
    <row r="51" spans="1:18" ht="16.5" customHeight="1">
      <c r="A51" s="109"/>
      <c r="B51" s="112"/>
      <c r="C51" s="89" t="s">
        <v>113</v>
      </c>
      <c r="D51" s="10" t="s">
        <v>132</v>
      </c>
      <c r="E51" s="46">
        <v>185282.34</v>
      </c>
      <c r="F51" s="43">
        <v>636054.36</v>
      </c>
      <c r="G51" s="43">
        <v>264537.26</v>
      </c>
      <c r="H51" s="43">
        <v>38629.2</v>
      </c>
      <c r="I51" s="43">
        <v>267867.92000000004</v>
      </c>
      <c r="J51" s="43">
        <v>26899.34</v>
      </c>
      <c r="K51" s="43">
        <f t="shared" si="3"/>
        <v>82585.58000000005</v>
      </c>
      <c r="L51" s="43">
        <f t="shared" si="4"/>
        <v>3330.6600000000326</v>
      </c>
      <c r="M51" s="43">
        <f t="shared" si="5"/>
        <v>-368186.43999999994</v>
      </c>
      <c r="N51" s="43">
        <f t="shared" si="6"/>
        <v>-11729.859999999997</v>
      </c>
      <c r="O51" s="25">
        <f t="shared" si="9"/>
        <v>1.4457282868944772</v>
      </c>
      <c r="P51" s="25">
        <f t="shared" si="10"/>
        <v>1.012590513714401</v>
      </c>
      <c r="Q51" s="25">
        <f t="shared" si="11"/>
        <v>0.4211399792935938</v>
      </c>
      <c r="R51" s="62"/>
    </row>
    <row r="52" spans="1:18" ht="16.5" customHeight="1">
      <c r="A52" s="125"/>
      <c r="B52" s="126"/>
      <c r="C52" s="89" t="s">
        <v>114</v>
      </c>
      <c r="D52" s="10" t="s">
        <v>110</v>
      </c>
      <c r="E52" s="46">
        <v>124635.94</v>
      </c>
      <c r="F52" s="48">
        <v>415818.1</v>
      </c>
      <c r="G52" s="48">
        <v>175459.8</v>
      </c>
      <c r="H52" s="48">
        <v>27909.2</v>
      </c>
      <c r="I52" s="48">
        <v>162776.36000000002</v>
      </c>
      <c r="J52" s="48">
        <v>19364.489999999998</v>
      </c>
      <c r="K52" s="48">
        <f t="shared" si="3"/>
        <v>38140.42000000001</v>
      </c>
      <c r="L52" s="48">
        <f t="shared" si="4"/>
        <v>-12683.439999999973</v>
      </c>
      <c r="M52" s="48">
        <f t="shared" si="5"/>
        <v>-253041.73999999996</v>
      </c>
      <c r="N52" s="48">
        <f t="shared" si="6"/>
        <v>-8544.710000000003</v>
      </c>
      <c r="O52" s="25">
        <f t="shared" si="9"/>
        <v>1.3060146214647237</v>
      </c>
      <c r="P52" s="25">
        <f t="shared" si="10"/>
        <v>0.9277131285912786</v>
      </c>
      <c r="Q52" s="25">
        <f t="shared" si="11"/>
        <v>0.39146049678934136</v>
      </c>
      <c r="R52" s="62"/>
    </row>
    <row r="53" spans="1:18" ht="16.5" customHeight="1">
      <c r="A53" s="109"/>
      <c r="B53" s="112"/>
      <c r="C53" s="89" t="s">
        <v>115</v>
      </c>
      <c r="D53" s="10" t="s">
        <v>111</v>
      </c>
      <c r="E53" s="46">
        <v>1684425.16</v>
      </c>
      <c r="F53" s="43">
        <v>3830717.65</v>
      </c>
      <c r="G53" s="43">
        <v>1824007.75</v>
      </c>
      <c r="H53" s="43">
        <v>405809.5</v>
      </c>
      <c r="I53" s="43">
        <v>1817344.76</v>
      </c>
      <c r="J53" s="43">
        <v>243210.77000000002</v>
      </c>
      <c r="K53" s="43">
        <f t="shared" si="3"/>
        <v>132919.6000000001</v>
      </c>
      <c r="L53" s="43">
        <f t="shared" si="4"/>
        <v>-6662.989999999991</v>
      </c>
      <c r="M53" s="43">
        <f t="shared" si="5"/>
        <v>-2013372.89</v>
      </c>
      <c r="N53" s="43">
        <f t="shared" si="6"/>
        <v>-162598.72999999998</v>
      </c>
      <c r="O53" s="25">
        <f t="shared" si="9"/>
        <v>1.0789109561863823</v>
      </c>
      <c r="P53" s="25">
        <f t="shared" si="10"/>
        <v>0.996347060477128</v>
      </c>
      <c r="Q53" s="25">
        <f t="shared" si="11"/>
        <v>0.47441365457984097</v>
      </c>
      <c r="R53" s="62"/>
    </row>
    <row r="54" spans="1:18" ht="16.5" customHeight="1">
      <c r="A54" s="125"/>
      <c r="B54" s="126"/>
      <c r="C54" s="89" t="s">
        <v>129</v>
      </c>
      <c r="D54" s="10" t="s">
        <v>112</v>
      </c>
      <c r="E54" s="46">
        <v>1202.29</v>
      </c>
      <c r="F54" s="43">
        <v>0</v>
      </c>
      <c r="G54" s="43">
        <v>0</v>
      </c>
      <c r="H54" s="43">
        <v>0</v>
      </c>
      <c r="I54" s="43">
        <v>591.41</v>
      </c>
      <c r="J54" s="43">
        <v>80.19</v>
      </c>
      <c r="K54" s="43">
        <f t="shared" si="3"/>
        <v>-610.88</v>
      </c>
      <c r="L54" s="43">
        <f t="shared" si="4"/>
        <v>591.41</v>
      </c>
      <c r="M54" s="43">
        <f t="shared" si="5"/>
        <v>591.41</v>
      </c>
      <c r="N54" s="43">
        <f t="shared" si="6"/>
        <v>80.19</v>
      </c>
      <c r="O54" s="25">
        <f t="shared" si="9"/>
        <v>0.49190295186685407</v>
      </c>
      <c r="P54" s="25">
        <f t="shared" si="10"/>
      </c>
      <c r="Q54" s="25">
        <f t="shared" si="11"/>
      </c>
      <c r="R54" s="62"/>
    </row>
    <row r="55" spans="1:18" ht="15.75">
      <c r="A55" s="109"/>
      <c r="B55" s="112"/>
      <c r="C55" s="101"/>
      <c r="D55" s="83" t="s">
        <v>11</v>
      </c>
      <c r="E55" s="84">
        <f>SUM(E50:E54)</f>
        <v>1995545.73</v>
      </c>
      <c r="F55" s="84">
        <f aca="true" t="shared" si="14" ref="F55:K55">SUM(F50:F54)</f>
        <v>4882590.109999999</v>
      </c>
      <c r="G55" s="84">
        <f t="shared" si="14"/>
        <v>2264004.81</v>
      </c>
      <c r="H55" s="84">
        <f t="shared" si="14"/>
        <v>472347.9</v>
      </c>
      <c r="I55" s="84">
        <f t="shared" si="14"/>
        <v>2248580.45</v>
      </c>
      <c r="J55" s="84">
        <f t="shared" si="14"/>
        <v>289554.79000000004</v>
      </c>
      <c r="K55" s="84">
        <f t="shared" si="14"/>
        <v>253034.72000000015</v>
      </c>
      <c r="L55" s="84">
        <f t="shared" si="4"/>
        <v>-15424.35999999987</v>
      </c>
      <c r="M55" s="84">
        <f t="shared" si="5"/>
        <v>-2634009.659999999</v>
      </c>
      <c r="N55" s="84">
        <f t="shared" si="6"/>
        <v>-182793.11</v>
      </c>
      <c r="O55" s="25">
        <f t="shared" si="9"/>
        <v>1.1267997601838973</v>
      </c>
      <c r="P55" s="25">
        <f t="shared" si="10"/>
        <v>0.9931871346156725</v>
      </c>
      <c r="Q55" s="25">
        <f t="shared" si="11"/>
        <v>0.46053025122766256</v>
      </c>
      <c r="R55" s="64"/>
    </row>
    <row r="56" spans="1:18" ht="16.5" customHeight="1">
      <c r="A56" s="127">
        <v>991</v>
      </c>
      <c r="B56" s="127" t="s">
        <v>75</v>
      </c>
      <c r="C56" s="95" t="s">
        <v>44</v>
      </c>
      <c r="D56" s="5" t="s">
        <v>76</v>
      </c>
      <c r="E56" s="57">
        <v>25728.11</v>
      </c>
      <c r="F56" s="41">
        <v>54298.2</v>
      </c>
      <c r="G56" s="41">
        <v>25700</v>
      </c>
      <c r="H56" s="41">
        <v>4500</v>
      </c>
      <c r="I56" s="41">
        <v>26038.14</v>
      </c>
      <c r="J56" s="41">
        <v>3952.89</v>
      </c>
      <c r="K56" s="41">
        <f t="shared" si="3"/>
        <v>310.02999999999884</v>
      </c>
      <c r="L56" s="41">
        <f t="shared" si="4"/>
        <v>338.1399999999994</v>
      </c>
      <c r="M56" s="41">
        <f t="shared" si="5"/>
        <v>-28260.059999999998</v>
      </c>
      <c r="N56" s="41">
        <f t="shared" si="6"/>
        <v>-547.1100000000001</v>
      </c>
      <c r="O56" s="25">
        <f t="shared" si="9"/>
        <v>1.012050243877222</v>
      </c>
      <c r="P56" s="25">
        <f t="shared" si="10"/>
        <v>1.0131571984435797</v>
      </c>
      <c r="Q56" s="25">
        <f t="shared" si="11"/>
        <v>0.479539653248174</v>
      </c>
      <c r="R56" s="62"/>
    </row>
    <row r="57" spans="1:18" ht="16.5" customHeight="1">
      <c r="A57" s="127"/>
      <c r="B57" s="127"/>
      <c r="C57" s="92" t="s">
        <v>77</v>
      </c>
      <c r="D57" s="4" t="s">
        <v>78</v>
      </c>
      <c r="E57" s="57">
        <v>1849</v>
      </c>
      <c r="F57" s="41">
        <v>0</v>
      </c>
      <c r="G57" s="41">
        <v>0</v>
      </c>
      <c r="H57" s="41">
        <v>0</v>
      </c>
      <c r="I57" s="41">
        <v>3386.69</v>
      </c>
      <c r="J57" s="41">
        <v>0</v>
      </c>
      <c r="K57" s="41">
        <f t="shared" si="3"/>
        <v>1537.69</v>
      </c>
      <c r="L57" s="41">
        <f t="shared" si="4"/>
        <v>3386.69</v>
      </c>
      <c r="M57" s="41">
        <f t="shared" si="5"/>
        <v>3386.69</v>
      </c>
      <c r="N57" s="41">
        <f t="shared" si="6"/>
        <v>0</v>
      </c>
      <c r="O57" s="28">
        <f t="shared" si="9"/>
        <v>1.8316333153055706</v>
      </c>
      <c r="P57" s="25">
        <f t="shared" si="10"/>
      </c>
      <c r="Q57" s="25">
        <f t="shared" si="11"/>
      </c>
      <c r="R57" s="62"/>
    </row>
    <row r="58" spans="1:18" ht="15.75">
      <c r="A58" s="127"/>
      <c r="B58" s="127"/>
      <c r="C58" s="100"/>
      <c r="D58" s="79" t="s">
        <v>11</v>
      </c>
      <c r="E58" s="59">
        <f aca="true" t="shared" si="15" ref="E58:K58">SUM(E56:E57)</f>
        <v>27577.11</v>
      </c>
      <c r="F58" s="59">
        <f t="shared" si="15"/>
        <v>54298.2</v>
      </c>
      <c r="G58" s="59">
        <f t="shared" si="15"/>
        <v>25700</v>
      </c>
      <c r="H58" s="59">
        <f t="shared" si="15"/>
        <v>4500</v>
      </c>
      <c r="I58" s="59">
        <f t="shared" si="15"/>
        <v>29424.829999999998</v>
      </c>
      <c r="J58" s="59">
        <f t="shared" si="15"/>
        <v>3952.89</v>
      </c>
      <c r="K58" s="59">
        <f t="shared" si="15"/>
        <v>1847.719999999999</v>
      </c>
      <c r="L58" s="59">
        <f t="shared" si="4"/>
        <v>3724.829999999998</v>
      </c>
      <c r="M58" s="59">
        <f t="shared" si="5"/>
        <v>-24873.37</v>
      </c>
      <c r="N58" s="59">
        <f t="shared" si="6"/>
        <v>-547.1100000000001</v>
      </c>
      <c r="O58" s="78">
        <f t="shared" si="9"/>
        <v>1.0670019447287986</v>
      </c>
      <c r="P58" s="25">
        <f t="shared" si="10"/>
        <v>1.1449350194552528</v>
      </c>
      <c r="Q58" s="78">
        <f t="shared" si="11"/>
        <v>0.541911702413708</v>
      </c>
      <c r="R58" s="64"/>
    </row>
    <row r="59" spans="1:18" ht="16.5" customHeight="1">
      <c r="A59" s="118" t="s">
        <v>79</v>
      </c>
      <c r="B59" s="104" t="s">
        <v>80</v>
      </c>
      <c r="C59" s="92" t="s">
        <v>81</v>
      </c>
      <c r="D59" s="4" t="s">
        <v>82</v>
      </c>
      <c r="E59" s="57">
        <v>2697.65</v>
      </c>
      <c r="F59" s="41">
        <v>7767.5</v>
      </c>
      <c r="G59" s="41">
        <v>3895</v>
      </c>
      <c r="H59" s="41">
        <v>231.5</v>
      </c>
      <c r="I59" s="41">
        <v>6776.390000000001</v>
      </c>
      <c r="J59" s="41">
        <v>208.66</v>
      </c>
      <c r="K59" s="41">
        <f t="shared" si="3"/>
        <v>4078.740000000001</v>
      </c>
      <c r="L59" s="41">
        <f t="shared" si="4"/>
        <v>2881.3900000000012</v>
      </c>
      <c r="M59" s="41">
        <f t="shared" si="5"/>
        <v>-991.1099999999988</v>
      </c>
      <c r="N59" s="41">
        <f t="shared" si="6"/>
        <v>-22.840000000000003</v>
      </c>
      <c r="O59" s="25">
        <f t="shared" si="9"/>
        <v>2.5119604099864703</v>
      </c>
      <c r="P59" s="25">
        <f t="shared" si="10"/>
        <v>1.739766367137356</v>
      </c>
      <c r="Q59" s="25">
        <f t="shared" si="11"/>
        <v>0.8724029610556808</v>
      </c>
      <c r="R59" s="62"/>
    </row>
    <row r="60" spans="1:18" ht="15.75">
      <c r="A60" s="118"/>
      <c r="B60" s="104"/>
      <c r="C60" s="94"/>
      <c r="D60" s="79" t="s">
        <v>11</v>
      </c>
      <c r="E60" s="59">
        <f aca="true" t="shared" si="16" ref="E60:K60">E59</f>
        <v>2697.65</v>
      </c>
      <c r="F60" s="85">
        <f t="shared" si="16"/>
        <v>7767.5</v>
      </c>
      <c r="G60" s="85">
        <f t="shared" si="16"/>
        <v>3895</v>
      </c>
      <c r="H60" s="85">
        <f t="shared" si="16"/>
        <v>231.5</v>
      </c>
      <c r="I60" s="85">
        <f t="shared" si="16"/>
        <v>6776.390000000001</v>
      </c>
      <c r="J60" s="85">
        <f t="shared" si="16"/>
        <v>208.66</v>
      </c>
      <c r="K60" s="85">
        <f t="shared" si="16"/>
        <v>4078.740000000001</v>
      </c>
      <c r="L60" s="85">
        <f t="shared" si="4"/>
        <v>2881.3900000000012</v>
      </c>
      <c r="M60" s="85">
        <f t="shared" si="5"/>
        <v>-991.1099999999988</v>
      </c>
      <c r="N60" s="85">
        <f t="shared" si="6"/>
        <v>-22.840000000000003</v>
      </c>
      <c r="O60" s="78">
        <f t="shared" si="9"/>
        <v>2.5119604099864703</v>
      </c>
      <c r="P60" s="78">
        <f t="shared" si="10"/>
        <v>1.739766367137356</v>
      </c>
      <c r="Q60" s="78">
        <f t="shared" si="11"/>
        <v>0.8724029610556808</v>
      </c>
      <c r="R60" s="64"/>
    </row>
    <row r="61" spans="1:18" ht="16.5" customHeight="1">
      <c r="A61" s="104"/>
      <c r="B61" s="104" t="s">
        <v>83</v>
      </c>
      <c r="C61" s="92" t="s">
        <v>107</v>
      </c>
      <c r="D61" s="6" t="s">
        <v>84</v>
      </c>
      <c r="E61" s="57">
        <v>493.21</v>
      </c>
      <c r="F61" s="41">
        <v>41.2</v>
      </c>
      <c r="G61" s="41">
        <v>41.2</v>
      </c>
      <c r="H61" s="41">
        <v>0</v>
      </c>
      <c r="I61" s="41">
        <v>123.68</v>
      </c>
      <c r="J61" s="41">
        <v>40.61</v>
      </c>
      <c r="K61" s="41">
        <f aca="true" t="shared" si="17" ref="K61:K79">I61-E61</f>
        <v>-369.53</v>
      </c>
      <c r="L61" s="41">
        <f t="shared" si="4"/>
        <v>82.48</v>
      </c>
      <c r="M61" s="41">
        <f t="shared" si="5"/>
        <v>82.48</v>
      </c>
      <c r="N61" s="41">
        <f t="shared" si="6"/>
        <v>40.61</v>
      </c>
      <c r="O61" s="25">
        <f t="shared" si="9"/>
        <v>0.2507653940512155</v>
      </c>
      <c r="P61" s="25">
        <f t="shared" si="10"/>
        <v>3.0019417475728156</v>
      </c>
      <c r="Q61" s="25">
        <f t="shared" si="11"/>
        <v>3.0019417475728156</v>
      </c>
      <c r="R61" s="62"/>
    </row>
    <row r="62" spans="1:18" ht="16.5" customHeight="1">
      <c r="A62" s="122"/>
      <c r="B62" s="122"/>
      <c r="C62" s="92" t="s">
        <v>108</v>
      </c>
      <c r="D62" s="4" t="s">
        <v>144</v>
      </c>
      <c r="E62" s="49">
        <v>45.68</v>
      </c>
      <c r="F62" s="49">
        <v>47.1</v>
      </c>
      <c r="G62" s="49">
        <v>47.1</v>
      </c>
      <c r="H62" s="49">
        <v>0</v>
      </c>
      <c r="I62" s="49">
        <v>272.04</v>
      </c>
      <c r="J62" s="49">
        <v>0</v>
      </c>
      <c r="K62" s="49">
        <f t="shared" si="17"/>
        <v>226.36</v>
      </c>
      <c r="L62" s="49">
        <f t="shared" si="4"/>
        <v>224.94000000000003</v>
      </c>
      <c r="M62" s="49">
        <f t="shared" si="5"/>
        <v>224.94000000000003</v>
      </c>
      <c r="N62" s="49">
        <f t="shared" si="6"/>
        <v>0</v>
      </c>
      <c r="O62" s="25">
        <f t="shared" si="9"/>
        <v>5.955341506129598</v>
      </c>
      <c r="P62" s="25">
        <f t="shared" si="10"/>
        <v>5.775796178343949</v>
      </c>
      <c r="Q62" s="25">
        <f t="shared" si="11"/>
        <v>5.775796178343949</v>
      </c>
      <c r="R62" s="62"/>
    </row>
    <row r="63" spans="1:18" ht="16.5" customHeight="1">
      <c r="A63" s="104"/>
      <c r="B63" s="104"/>
      <c r="C63" s="92" t="s">
        <v>42</v>
      </c>
      <c r="D63" s="4" t="s">
        <v>43</v>
      </c>
      <c r="E63" s="57">
        <v>9531</v>
      </c>
      <c r="F63" s="41">
        <v>7387.5</v>
      </c>
      <c r="G63" s="41">
        <v>7387.5</v>
      </c>
      <c r="H63" s="41">
        <v>0</v>
      </c>
      <c r="I63" s="41">
        <v>7387.5</v>
      </c>
      <c r="J63" s="41">
        <v>0</v>
      </c>
      <c r="K63" s="41">
        <f t="shared" si="17"/>
        <v>-2143.5</v>
      </c>
      <c r="L63" s="41">
        <f t="shared" si="4"/>
        <v>0</v>
      </c>
      <c r="M63" s="41">
        <f t="shared" si="5"/>
        <v>0</v>
      </c>
      <c r="N63" s="41">
        <f t="shared" si="6"/>
        <v>0</v>
      </c>
      <c r="O63" s="25">
        <f t="shared" si="9"/>
        <v>0.7751022977651872</v>
      </c>
      <c r="P63" s="25">
        <f t="shared" si="10"/>
        <v>1</v>
      </c>
      <c r="Q63" s="25">
        <f t="shared" si="11"/>
        <v>1</v>
      </c>
      <c r="R63" s="62"/>
    </row>
    <row r="64" spans="1:18" ht="16.5" customHeight="1">
      <c r="A64" s="104"/>
      <c r="B64" s="104"/>
      <c r="C64" s="92" t="s">
        <v>116</v>
      </c>
      <c r="D64" s="4" t="s">
        <v>70</v>
      </c>
      <c r="E64" s="57">
        <v>13632.569999999998</v>
      </c>
      <c r="F64" s="42">
        <v>680.5</v>
      </c>
      <c r="G64" s="42">
        <v>340</v>
      </c>
      <c r="H64" s="42">
        <v>70</v>
      </c>
      <c r="I64" s="42">
        <v>28922.710000000003</v>
      </c>
      <c r="J64" s="42">
        <v>2025.0699999999995</v>
      </c>
      <c r="K64" s="42">
        <f t="shared" si="17"/>
        <v>15290.140000000005</v>
      </c>
      <c r="L64" s="42">
        <f t="shared" si="4"/>
        <v>28582.710000000003</v>
      </c>
      <c r="M64" s="42">
        <f t="shared" si="5"/>
        <v>28242.210000000003</v>
      </c>
      <c r="N64" s="42">
        <f t="shared" si="6"/>
        <v>1955.0699999999995</v>
      </c>
      <c r="O64" s="25">
        <f t="shared" si="9"/>
        <v>2.121588959381834</v>
      </c>
      <c r="P64" s="25">
        <f t="shared" si="10"/>
        <v>85.06679411764706</v>
      </c>
      <c r="Q64" s="25">
        <f t="shared" si="11"/>
        <v>42.50214548126378</v>
      </c>
      <c r="R64" s="62"/>
    </row>
    <row r="65" spans="1:18" ht="16.5" customHeight="1">
      <c r="A65" s="104"/>
      <c r="B65" s="104"/>
      <c r="C65" s="92" t="s">
        <v>73</v>
      </c>
      <c r="D65" s="4" t="s">
        <v>74</v>
      </c>
      <c r="E65" s="46">
        <v>44753.380000000005</v>
      </c>
      <c r="F65" s="42">
        <f>86939.9+8662.9-14007.9</f>
        <v>81594.9</v>
      </c>
      <c r="G65" s="42">
        <v>37168.3</v>
      </c>
      <c r="H65" s="42">
        <v>7284.5</v>
      </c>
      <c r="I65" s="42">
        <v>48840.19999999995</v>
      </c>
      <c r="J65" s="42">
        <v>10315.319999999994</v>
      </c>
      <c r="K65" s="42">
        <f t="shared" si="17"/>
        <v>4086.819999999949</v>
      </c>
      <c r="L65" s="42">
        <f t="shared" si="4"/>
        <v>11671.89999999995</v>
      </c>
      <c r="M65" s="42">
        <f t="shared" si="5"/>
        <v>-32754.70000000004</v>
      </c>
      <c r="N65" s="42">
        <f t="shared" si="6"/>
        <v>3030.8199999999943</v>
      </c>
      <c r="O65" s="25">
        <f aca="true" t="shared" si="18" ref="O65:O80">_xlfn.IFERROR(I65/E65,"")</f>
        <v>1.0913186892252595</v>
      </c>
      <c r="P65" s="25">
        <f aca="true" t="shared" si="19" ref="P65:P80">_xlfn.IFERROR(I65/G65,"")</f>
        <v>1.3140283521172598</v>
      </c>
      <c r="Q65" s="25">
        <f aca="true" t="shared" si="20" ref="Q65:Q80">_xlfn.IFERROR(I65/F65,"")</f>
        <v>0.5985692733246804</v>
      </c>
      <c r="R65" s="62"/>
    </row>
    <row r="66" spans="1:18" ht="16.5" customHeight="1">
      <c r="A66" s="104"/>
      <c r="B66" s="104"/>
      <c r="C66" s="92" t="s">
        <v>85</v>
      </c>
      <c r="D66" s="4" t="s">
        <v>86</v>
      </c>
      <c r="E66" s="46">
        <v>10492.529999999997</v>
      </c>
      <c r="F66" s="42">
        <v>0</v>
      </c>
      <c r="G66" s="42">
        <v>0</v>
      </c>
      <c r="H66" s="42">
        <v>0</v>
      </c>
      <c r="I66" s="42">
        <v>-5540.400000000001</v>
      </c>
      <c r="J66" s="42">
        <v>497.1300000000001</v>
      </c>
      <c r="K66" s="42">
        <f t="shared" si="17"/>
        <v>-16032.929999999997</v>
      </c>
      <c r="L66" s="42">
        <f t="shared" si="4"/>
        <v>-5540.400000000001</v>
      </c>
      <c r="M66" s="42">
        <f t="shared" si="5"/>
        <v>-5540.400000000001</v>
      </c>
      <c r="N66" s="42">
        <f t="shared" si="6"/>
        <v>497.1300000000001</v>
      </c>
      <c r="O66" s="25">
        <f t="shared" si="18"/>
        <v>-0.5280328004780546</v>
      </c>
      <c r="P66" s="25">
        <f t="shared" si="19"/>
      </c>
      <c r="Q66" s="25">
        <f t="shared" si="20"/>
      </c>
      <c r="R66" s="62"/>
    </row>
    <row r="67" spans="1:18" ht="16.5" customHeight="1">
      <c r="A67" s="104"/>
      <c r="B67" s="104"/>
      <c r="C67" s="92" t="s">
        <v>46</v>
      </c>
      <c r="D67" s="4" t="s">
        <v>60</v>
      </c>
      <c r="E67" s="46">
        <v>10676.47</v>
      </c>
      <c r="F67" s="42">
        <v>16333.1</v>
      </c>
      <c r="G67" s="42">
        <v>3950</v>
      </c>
      <c r="H67" s="42">
        <v>1050</v>
      </c>
      <c r="I67" s="42">
        <v>24245.319999999996</v>
      </c>
      <c r="J67" s="42">
        <v>9827.75</v>
      </c>
      <c r="K67" s="42">
        <f t="shared" si="17"/>
        <v>13568.849999999997</v>
      </c>
      <c r="L67" s="42">
        <f aca="true" t="shared" si="21" ref="L67:L79">I67-G67</f>
        <v>20295.319999999996</v>
      </c>
      <c r="M67" s="42">
        <f aca="true" t="shared" si="22" ref="M67:M79">I67-F67</f>
        <v>7912.219999999996</v>
      </c>
      <c r="N67" s="42">
        <f aca="true" t="shared" si="23" ref="N67:N79">J67-H67</f>
        <v>8777.75</v>
      </c>
      <c r="O67" s="25">
        <f t="shared" si="18"/>
        <v>2.2709116402706138</v>
      </c>
      <c r="P67" s="25">
        <f t="shared" si="19"/>
        <v>6.138055696202531</v>
      </c>
      <c r="Q67" s="25">
        <f t="shared" si="20"/>
        <v>1.4844285530609618</v>
      </c>
      <c r="R67" s="62"/>
    </row>
    <row r="68" spans="1:18" ht="16.5" customHeight="1">
      <c r="A68" s="141"/>
      <c r="B68" s="141"/>
      <c r="C68" s="92" t="s">
        <v>148</v>
      </c>
      <c r="D68" s="4" t="s">
        <v>147</v>
      </c>
      <c r="E68" s="46">
        <v>2146.93</v>
      </c>
      <c r="F68" s="42">
        <v>0</v>
      </c>
      <c r="G68" s="42">
        <f>H68</f>
        <v>0</v>
      </c>
      <c r="H68" s="42">
        <v>0</v>
      </c>
      <c r="I68" s="42">
        <v>795.93</v>
      </c>
      <c r="J68" s="42">
        <v>0</v>
      </c>
      <c r="K68" s="42">
        <f t="shared" si="17"/>
        <v>-1351</v>
      </c>
      <c r="L68" s="42">
        <f t="shared" si="21"/>
        <v>795.93</v>
      </c>
      <c r="M68" s="42">
        <f t="shared" si="22"/>
        <v>795.93</v>
      </c>
      <c r="N68" s="42">
        <f t="shared" si="23"/>
        <v>0</v>
      </c>
      <c r="O68" s="25">
        <f t="shared" si="18"/>
        <v>0.3707293670496942</v>
      </c>
      <c r="P68" s="25">
        <f t="shared" si="19"/>
      </c>
      <c r="Q68" s="25">
        <f t="shared" si="20"/>
      </c>
      <c r="R68" s="62"/>
    </row>
    <row r="69" spans="1:18" ht="15.75">
      <c r="A69" s="104"/>
      <c r="B69" s="104"/>
      <c r="C69" s="94"/>
      <c r="D69" s="79" t="s">
        <v>87</v>
      </c>
      <c r="E69" s="59">
        <f>SUM(E61:E68)</f>
        <v>91771.76999999999</v>
      </c>
      <c r="F69" s="59">
        <f>SUM(F61:F68)</f>
        <v>106084.3</v>
      </c>
      <c r="G69" s="59">
        <f>SUM(G61:G68)</f>
        <v>48934.100000000006</v>
      </c>
      <c r="H69" s="59">
        <f>SUM(H61:H68)</f>
        <v>8404.5</v>
      </c>
      <c r="I69" s="59">
        <f>SUM(I61:I68)</f>
        <v>105046.97999999994</v>
      </c>
      <c r="J69" s="59">
        <f>SUM(J61:J68)</f>
        <v>22705.879999999994</v>
      </c>
      <c r="K69" s="59">
        <f>SUM(K61:K68)</f>
        <v>13275.209999999954</v>
      </c>
      <c r="L69" s="85">
        <f t="shared" si="21"/>
        <v>56112.87999999993</v>
      </c>
      <c r="M69" s="85">
        <f t="shared" si="22"/>
        <v>-1037.3200000000652</v>
      </c>
      <c r="N69" s="85">
        <f t="shared" si="23"/>
        <v>14301.379999999994</v>
      </c>
      <c r="O69" s="78">
        <f t="shared" si="18"/>
        <v>1.144654614376512</v>
      </c>
      <c r="P69" s="78">
        <f t="shared" si="19"/>
        <v>2.1467030148710187</v>
      </c>
      <c r="Q69" s="78">
        <f t="shared" si="20"/>
        <v>0.9902217387492771</v>
      </c>
      <c r="R69" s="64"/>
    </row>
    <row r="70" spans="1:21" ht="25.5" customHeight="1">
      <c r="A70" s="142" t="s">
        <v>88</v>
      </c>
      <c r="B70" s="142"/>
      <c r="C70" s="143"/>
      <c r="D70" s="142"/>
      <c r="E70" s="50">
        <f aca="true" t="shared" si="24" ref="E70:K70">E5+E22</f>
        <v>9414473.369999997</v>
      </c>
      <c r="F70" s="50">
        <f t="shared" si="24"/>
        <v>26570797.730000004</v>
      </c>
      <c r="G70" s="50">
        <f t="shared" si="24"/>
        <v>10880642.510000002</v>
      </c>
      <c r="H70" s="50">
        <f t="shared" si="24"/>
        <v>1787952.2000000002</v>
      </c>
      <c r="I70" s="50">
        <f t="shared" si="24"/>
        <v>9292209.510000002</v>
      </c>
      <c r="J70" s="50">
        <f t="shared" si="24"/>
        <v>531962.35</v>
      </c>
      <c r="K70" s="50">
        <f t="shared" si="24"/>
        <v>-142512.06000000017</v>
      </c>
      <c r="L70" s="51">
        <f t="shared" si="21"/>
        <v>-1588433</v>
      </c>
      <c r="M70" s="51">
        <f t="shared" si="22"/>
        <v>-17278588.220000003</v>
      </c>
      <c r="N70" s="51">
        <f t="shared" si="23"/>
        <v>-1255989.85</v>
      </c>
      <c r="O70" s="33">
        <f t="shared" si="18"/>
        <v>0.9870132024177157</v>
      </c>
      <c r="P70" s="33">
        <f t="shared" si="19"/>
        <v>0.8540129410059994</v>
      </c>
      <c r="Q70" s="33">
        <f t="shared" si="20"/>
        <v>0.3497151122229404</v>
      </c>
      <c r="R70" s="69"/>
      <c r="U70" s="36"/>
    </row>
    <row r="71" spans="1:18" ht="33" customHeight="1">
      <c r="A71" s="144"/>
      <c r="B71" s="131"/>
      <c r="C71" s="92"/>
      <c r="D71" s="30" t="s">
        <v>89</v>
      </c>
      <c r="E71" s="52">
        <f aca="true" t="shared" si="25" ref="E71:K71">SUM(E72:E79)</f>
        <v>9282176.889999997</v>
      </c>
      <c r="F71" s="52">
        <f t="shared" si="25"/>
        <v>28028970.46</v>
      </c>
      <c r="G71" s="52">
        <f t="shared" si="25"/>
        <v>10871712.77</v>
      </c>
      <c r="H71" s="52">
        <f t="shared" si="25"/>
        <v>2338660.64</v>
      </c>
      <c r="I71" s="52">
        <f t="shared" si="25"/>
        <v>11206513.940000001</v>
      </c>
      <c r="J71" s="52">
        <f t="shared" si="25"/>
        <v>2629306.14</v>
      </c>
      <c r="K71" s="52">
        <f t="shared" si="25"/>
        <v>1924337.0500000005</v>
      </c>
      <c r="L71" s="53">
        <f t="shared" si="21"/>
        <v>334801.1700000018</v>
      </c>
      <c r="M71" s="53">
        <f t="shared" si="22"/>
        <v>-16822456.52</v>
      </c>
      <c r="N71" s="53">
        <f t="shared" si="23"/>
        <v>290645.5</v>
      </c>
      <c r="O71" s="31">
        <f t="shared" si="18"/>
        <v>1.207315274509922</v>
      </c>
      <c r="P71" s="31">
        <f t="shared" si="19"/>
        <v>1.0307956231996738</v>
      </c>
      <c r="Q71" s="31">
        <f t="shared" si="20"/>
        <v>0.3998189643102575</v>
      </c>
      <c r="R71" s="69"/>
    </row>
    <row r="72" spans="1:18" ht="31.5">
      <c r="A72" s="144"/>
      <c r="B72" s="131"/>
      <c r="C72" s="92" t="s">
        <v>125</v>
      </c>
      <c r="D72" s="11" t="s">
        <v>90</v>
      </c>
      <c r="E72" s="46">
        <v>539943.4</v>
      </c>
      <c r="F72" s="42">
        <v>384548</v>
      </c>
      <c r="G72" s="42">
        <v>320133.9</v>
      </c>
      <c r="H72" s="42">
        <v>0</v>
      </c>
      <c r="I72" s="42">
        <v>326643.7</v>
      </c>
      <c r="J72" s="42">
        <v>0</v>
      </c>
      <c r="K72" s="42">
        <f aca="true" t="shared" si="26" ref="K72:K77">I72-E72</f>
        <v>-213299.7</v>
      </c>
      <c r="L72" s="42">
        <f>I72-G72</f>
        <v>6509.799999999988</v>
      </c>
      <c r="M72" s="42">
        <f>I72-F72</f>
        <v>-57904.29999999999</v>
      </c>
      <c r="N72" s="42">
        <f>J72-H72</f>
        <v>0</v>
      </c>
      <c r="O72" s="26">
        <f t="shared" si="18"/>
        <v>0.6049591494219579</v>
      </c>
      <c r="P72" s="26">
        <f t="shared" si="19"/>
        <v>1.0203346162340194</v>
      </c>
      <c r="Q72" s="26">
        <f t="shared" si="20"/>
        <v>0.8494224388112798</v>
      </c>
      <c r="R72" s="63"/>
    </row>
    <row r="73" spans="1:18" ht="16.5" customHeight="1">
      <c r="A73" s="144"/>
      <c r="B73" s="131"/>
      <c r="C73" s="92" t="s">
        <v>126</v>
      </c>
      <c r="D73" s="12" t="s">
        <v>91</v>
      </c>
      <c r="E73" s="46">
        <v>1383286.79</v>
      </c>
      <c r="F73" s="42">
        <v>9844322.1</v>
      </c>
      <c r="G73" s="42">
        <v>1799251.32</v>
      </c>
      <c r="H73" s="46">
        <v>328413.31</v>
      </c>
      <c r="I73" s="46">
        <v>1799251.32</v>
      </c>
      <c r="J73" s="46">
        <v>328413.31</v>
      </c>
      <c r="K73" s="42">
        <f t="shared" si="26"/>
        <v>415964.53</v>
      </c>
      <c r="L73" s="42">
        <f>I73-G73</f>
        <v>0</v>
      </c>
      <c r="M73" s="42">
        <f>I73-F73</f>
        <v>-8045070.779999999</v>
      </c>
      <c r="N73" s="42">
        <f>J73-H73</f>
        <v>0</v>
      </c>
      <c r="O73" s="26">
        <f t="shared" si="18"/>
        <v>1.3007073681373043</v>
      </c>
      <c r="P73" s="26">
        <f t="shared" si="19"/>
        <v>1</v>
      </c>
      <c r="Q73" s="26">
        <f t="shared" si="20"/>
        <v>0.1827704642049451</v>
      </c>
      <c r="R73" s="62"/>
    </row>
    <row r="74" spans="1:18" ht="16.5" customHeight="1">
      <c r="A74" s="144"/>
      <c r="B74" s="131"/>
      <c r="C74" s="92" t="s">
        <v>127</v>
      </c>
      <c r="D74" s="12" t="s">
        <v>92</v>
      </c>
      <c r="E74" s="46">
        <v>5788644.92</v>
      </c>
      <c r="F74" s="42">
        <v>12307705.3</v>
      </c>
      <c r="G74" s="42">
        <v>6165441.53</v>
      </c>
      <c r="H74" s="46">
        <v>1608077.98</v>
      </c>
      <c r="I74" s="46">
        <v>6165441.53</v>
      </c>
      <c r="J74" s="46">
        <v>1608077.98</v>
      </c>
      <c r="K74" s="42">
        <f t="shared" si="26"/>
        <v>376796.61000000034</v>
      </c>
      <c r="L74" s="42">
        <f>I74-G74</f>
        <v>0</v>
      </c>
      <c r="M74" s="42">
        <f t="shared" si="22"/>
        <v>-6142263.7700000005</v>
      </c>
      <c r="N74" s="42">
        <f>J74-H74</f>
        <v>0</v>
      </c>
      <c r="O74" s="26">
        <f t="shared" si="18"/>
        <v>1.065092368802611</v>
      </c>
      <c r="P74" s="26">
        <f t="shared" si="19"/>
        <v>1</v>
      </c>
      <c r="Q74" s="26">
        <f t="shared" si="20"/>
        <v>0.5009415955060282</v>
      </c>
      <c r="R74" s="62"/>
    </row>
    <row r="75" spans="1:18" ht="16.5" customHeight="1">
      <c r="A75" s="144"/>
      <c r="B75" s="131"/>
      <c r="C75" s="92" t="s">
        <v>128</v>
      </c>
      <c r="D75" s="5" t="s">
        <v>93</v>
      </c>
      <c r="E75" s="46">
        <v>1536151.63</v>
      </c>
      <c r="F75" s="42">
        <v>5484388.19</v>
      </c>
      <c r="G75" s="42">
        <v>2578879.15</v>
      </c>
      <c r="H75" s="42">
        <v>402169.35</v>
      </c>
      <c r="I75" s="42">
        <v>2578879.15</v>
      </c>
      <c r="J75" s="42">
        <v>402169.35</v>
      </c>
      <c r="K75" s="42">
        <f t="shared" si="26"/>
        <v>1042727.52</v>
      </c>
      <c r="L75" s="42">
        <f>I75-G75</f>
        <v>0</v>
      </c>
      <c r="M75" s="42">
        <f t="shared" si="22"/>
        <v>-2905509.0400000005</v>
      </c>
      <c r="N75" s="42">
        <f t="shared" si="23"/>
        <v>0</v>
      </c>
      <c r="O75" s="26">
        <f t="shared" si="18"/>
        <v>1.6787920538807748</v>
      </c>
      <c r="P75" s="26">
        <f t="shared" si="19"/>
        <v>1</v>
      </c>
      <c r="Q75" s="26">
        <f t="shared" si="20"/>
        <v>0.47022184802713607</v>
      </c>
      <c r="R75" s="62"/>
    </row>
    <row r="76" spans="1:18" ht="31.5">
      <c r="A76" s="145"/>
      <c r="B76" s="146"/>
      <c r="C76" s="92" t="s">
        <v>124</v>
      </c>
      <c r="D76" s="5" t="s">
        <v>123</v>
      </c>
      <c r="E76" s="46">
        <v>4.06</v>
      </c>
      <c r="F76" s="42">
        <v>0</v>
      </c>
      <c r="G76" s="42">
        <v>0</v>
      </c>
      <c r="H76" s="42">
        <v>0</v>
      </c>
      <c r="I76" s="42">
        <v>787.89</v>
      </c>
      <c r="J76" s="42">
        <v>400</v>
      </c>
      <c r="K76" s="42">
        <f t="shared" si="26"/>
        <v>783.83</v>
      </c>
      <c r="L76" s="42">
        <f>I76-G76</f>
        <v>787.89</v>
      </c>
      <c r="M76" s="42">
        <f t="shared" si="22"/>
        <v>787.89</v>
      </c>
      <c r="N76" s="42">
        <f t="shared" si="23"/>
        <v>400</v>
      </c>
      <c r="O76" s="27">
        <f t="shared" si="18"/>
        <v>194.06157635467983</v>
      </c>
      <c r="P76" s="26">
        <f t="shared" si="19"/>
      </c>
      <c r="Q76" s="27">
        <f t="shared" si="20"/>
      </c>
      <c r="R76" s="62"/>
    </row>
    <row r="77" spans="1:18" ht="15.75" customHeight="1">
      <c r="A77" s="144"/>
      <c r="B77" s="131"/>
      <c r="C77" s="92" t="s">
        <v>94</v>
      </c>
      <c r="D77" s="22" t="s">
        <v>95</v>
      </c>
      <c r="E77" s="46">
        <v>49651.11</v>
      </c>
      <c r="F77" s="42">
        <v>0</v>
      </c>
      <c r="G77" s="42">
        <v>0</v>
      </c>
      <c r="H77" s="42">
        <v>0</v>
      </c>
      <c r="I77" s="42">
        <v>450392.64</v>
      </c>
      <c r="J77" s="42">
        <v>291472.55</v>
      </c>
      <c r="K77" s="42">
        <f t="shared" si="26"/>
        <v>400741.53</v>
      </c>
      <c r="L77" s="42">
        <f>I77-G77</f>
        <v>450392.64</v>
      </c>
      <c r="M77" s="42">
        <f>I77-F77</f>
        <v>450392.64</v>
      </c>
      <c r="N77" s="42">
        <f t="shared" si="23"/>
        <v>291472.55</v>
      </c>
      <c r="O77" s="26">
        <f t="shared" si="18"/>
        <v>9.071149466749082</v>
      </c>
      <c r="P77" s="26">
        <f t="shared" si="19"/>
      </c>
      <c r="Q77" s="26">
        <f t="shared" si="20"/>
      </c>
      <c r="R77" s="62"/>
    </row>
    <row r="78" spans="1:18" ht="31.5">
      <c r="A78" s="144"/>
      <c r="B78" s="131"/>
      <c r="C78" s="92" t="s">
        <v>96</v>
      </c>
      <c r="D78" s="4" t="s">
        <v>97</v>
      </c>
      <c r="E78" s="46">
        <v>322697.95</v>
      </c>
      <c r="F78" s="41">
        <v>8006.87</v>
      </c>
      <c r="G78" s="41">
        <v>8006.87</v>
      </c>
      <c r="H78" s="41">
        <v>0</v>
      </c>
      <c r="I78" s="41">
        <v>159786.69999999998</v>
      </c>
      <c r="J78" s="41">
        <v>-20.73</v>
      </c>
      <c r="K78" s="42">
        <f t="shared" si="17"/>
        <v>-162911.25000000003</v>
      </c>
      <c r="L78" s="42">
        <f t="shared" si="21"/>
        <v>151779.83</v>
      </c>
      <c r="M78" s="42">
        <f t="shared" si="22"/>
        <v>151779.83</v>
      </c>
      <c r="N78" s="42">
        <f t="shared" si="23"/>
        <v>-20.73</v>
      </c>
      <c r="O78" s="26">
        <f t="shared" si="18"/>
        <v>0.49515870801162504</v>
      </c>
      <c r="P78" s="26">
        <f t="shared" si="19"/>
        <v>19.95620011315283</v>
      </c>
      <c r="Q78" s="26">
        <f t="shared" si="20"/>
        <v>19.95620011315283</v>
      </c>
      <c r="R78" s="62"/>
    </row>
    <row r="79" spans="1:18" ht="16.5" customHeight="1">
      <c r="A79" s="144"/>
      <c r="B79" s="131"/>
      <c r="C79" s="92" t="s">
        <v>98</v>
      </c>
      <c r="D79" s="4" t="s">
        <v>99</v>
      </c>
      <c r="E79" s="46">
        <v>-338202.97</v>
      </c>
      <c r="F79" s="42">
        <v>0</v>
      </c>
      <c r="G79" s="42">
        <v>0</v>
      </c>
      <c r="H79" s="42">
        <v>0</v>
      </c>
      <c r="I79" s="42">
        <v>-274668.99</v>
      </c>
      <c r="J79" s="42">
        <v>-1206.32</v>
      </c>
      <c r="K79" s="42">
        <f t="shared" si="17"/>
        <v>63533.97999999998</v>
      </c>
      <c r="L79" s="42">
        <f t="shared" si="21"/>
        <v>-274668.99</v>
      </c>
      <c r="M79" s="42">
        <f t="shared" si="22"/>
        <v>-274668.99</v>
      </c>
      <c r="N79" s="42">
        <f t="shared" si="23"/>
        <v>-1206.32</v>
      </c>
      <c r="O79" s="26">
        <f t="shared" si="18"/>
        <v>0.8121424539825892</v>
      </c>
      <c r="P79" s="26">
        <f t="shared" si="19"/>
      </c>
      <c r="Q79" s="26">
        <f t="shared" si="20"/>
      </c>
      <c r="R79" s="62"/>
    </row>
    <row r="80" spans="1:18" ht="29.25" customHeight="1">
      <c r="A80" s="139" t="s">
        <v>100</v>
      </c>
      <c r="B80" s="139"/>
      <c r="C80" s="140"/>
      <c r="D80" s="139"/>
      <c r="E80" s="54">
        <f aca="true" t="shared" si="27" ref="E80:N80">E70+E71</f>
        <v>18696650.259999994</v>
      </c>
      <c r="F80" s="54">
        <f t="shared" si="27"/>
        <v>54599768.190000005</v>
      </c>
      <c r="G80" s="54">
        <f t="shared" si="27"/>
        <v>21752355.28</v>
      </c>
      <c r="H80" s="54">
        <f t="shared" si="27"/>
        <v>4126612.8400000003</v>
      </c>
      <c r="I80" s="54">
        <f t="shared" si="27"/>
        <v>20498723.450000003</v>
      </c>
      <c r="J80" s="54">
        <f t="shared" si="27"/>
        <v>3161268.49</v>
      </c>
      <c r="K80" s="54">
        <f t="shared" si="27"/>
        <v>1781824.9900000002</v>
      </c>
      <c r="L80" s="54">
        <f t="shared" si="27"/>
        <v>-1253631.8299999982</v>
      </c>
      <c r="M80" s="54">
        <f t="shared" si="27"/>
        <v>-34101044.74</v>
      </c>
      <c r="N80" s="54">
        <f t="shared" si="27"/>
        <v>-965344.3500000001</v>
      </c>
      <c r="O80" s="33">
        <f t="shared" si="18"/>
        <v>1.0963848157258096</v>
      </c>
      <c r="P80" s="33">
        <f t="shared" si="19"/>
        <v>0.9423679958393913</v>
      </c>
      <c r="Q80" s="33">
        <f t="shared" si="20"/>
        <v>0.37543608937435674</v>
      </c>
      <c r="R80" s="70"/>
    </row>
    <row r="81" spans="1:18" ht="15.75">
      <c r="A81" s="13" t="s">
        <v>101</v>
      </c>
      <c r="B81" s="14"/>
      <c r="C81" s="102"/>
      <c r="D81" s="15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16"/>
      <c r="P81" s="17"/>
      <c r="Q81" s="16"/>
      <c r="R81" s="62"/>
    </row>
  </sheetData>
  <sheetProtection/>
  <autoFilter ref="A4:R82"/>
  <mergeCells count="36">
    <mergeCell ref="A80:D80"/>
    <mergeCell ref="A61:A69"/>
    <mergeCell ref="B61:B69"/>
    <mergeCell ref="A70:D70"/>
    <mergeCell ref="A71:A79"/>
    <mergeCell ref="B71:B79"/>
    <mergeCell ref="A1:Q1"/>
    <mergeCell ref="A3:A4"/>
    <mergeCell ref="B3:B4"/>
    <mergeCell ref="C3:C4"/>
    <mergeCell ref="D3:D4"/>
    <mergeCell ref="E3:E4"/>
    <mergeCell ref="F3:H3"/>
    <mergeCell ref="P3:P4"/>
    <mergeCell ref="Q3:Q4"/>
    <mergeCell ref="A59:A60"/>
    <mergeCell ref="B59:B60"/>
    <mergeCell ref="A30:A37"/>
    <mergeCell ref="B30:B37"/>
    <mergeCell ref="A38:A47"/>
    <mergeCell ref="B38:B47"/>
    <mergeCell ref="A48:A49"/>
    <mergeCell ref="B48:B49"/>
    <mergeCell ref="A50:A55"/>
    <mergeCell ref="B50:B55"/>
    <mergeCell ref="A56:A58"/>
    <mergeCell ref="B56:B58"/>
    <mergeCell ref="A27:A29"/>
    <mergeCell ref="B27:B29"/>
    <mergeCell ref="I3:J3"/>
    <mergeCell ref="K3:N3"/>
    <mergeCell ref="O3:O4"/>
    <mergeCell ref="A23:A26"/>
    <mergeCell ref="B23:B26"/>
    <mergeCell ref="A6:A17"/>
    <mergeCell ref="A22:C22"/>
  </mergeCells>
  <printOptions/>
  <pageMargins left="0" right="0" top="0.87" bottom="0.43" header="0.19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Юрьева Ольга Ивановна</cp:lastModifiedBy>
  <cp:lastPrinted>2023-06-27T06:10:11Z</cp:lastPrinted>
  <dcterms:created xsi:type="dcterms:W3CDTF">2015-02-26T11:08:47Z</dcterms:created>
  <dcterms:modified xsi:type="dcterms:W3CDTF">2023-06-27T06:10:54Z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