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730" activeTab="0"/>
  </bookViews>
  <sheets>
    <sheet name="01.09.2023" sheetId="1" r:id="rId1"/>
  </sheets>
  <definedNames>
    <definedName name="_xlfn.IFERROR" hidden="1">#NAME?</definedName>
    <definedName name="_xlnm._FilterDatabase" localSheetId="0" hidden="1">'01.09.2023'!$A$4:$Q$81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'01.09.2023'!$3:$4</definedName>
    <definedName name="о">#REF!</definedName>
    <definedName name="_xlnm.Print_Area" localSheetId="0">'01.09.2023'!$A$1:$Q$80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<sst xmlns="http://schemas.openxmlformats.org/spreadsheetml/2006/main" count="193" uniqueCount="161">
  <si>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</si>
  <si>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</si>
  <si>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</si>
  <si>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</si>
  <si>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</si>
  <si>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</si>
  <si>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</si>
  <si>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</si>
  <si>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</si>
  <si>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</si>
  <si>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</si>
  <si>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</si>
  <si>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</si>
  <si>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</si>
  <si>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</si>
  <si>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</si>
  <si>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</si>
  <si>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</si>
  <si>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</si>
  <si>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</si>
  <si>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</si>
  <si>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</si>
  <si>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</si>
  <si>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</si>
  <si>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</si>
  <si>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</si>
  <si>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</si>
  <si>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</si>
  <si>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</si>
  <si>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</si>
  <si>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</si>
  <si>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</si>
  <si>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</si>
  <si>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 xml:space="preserve"> 1 08 07110-120 01 0000 110, 1 08 02020 01 0000 110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</si>
  <si>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</si>
  <si>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</si>
  <si>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</si>
  <si>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</si>
  <si>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</si>
  <si>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</si>
  <si>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</si>
  <si>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</si>
  <si>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</si>
  <si>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</si>
  <si>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</si>
  <si>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</si>
  <si>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1 17 05040 04 0000 180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</si>
  <si>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</si>
  <si>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</si>
  <si>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</si>
  <si>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</si>
  <si>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</si>
  <si>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</si>
  <si>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</si>
  <si>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</si>
  <si>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</si>
  <si>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</si>
  <si>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</si>
  <si>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</si>
  <si>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</si>
  <si>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</si>
  <si>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</si>
  <si>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</si>
  <si>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</si>
  <si>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</si>
  <si>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</si>
  <si>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</si>
  <si>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</si>
  <si>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</si>
  <si>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</si>
  <si>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</si>
  <si>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</si>
  <si>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1 11 05092 04 0000 120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</si>
  <si>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</si>
  <si>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</si>
  <si>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</si>
  <si>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</si>
  <si>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</si>
  <si>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</si>
  <si>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915, 048</t>
  </si>
  <si>
    <t>Уэкол.</t>
  </si>
  <si>
    <t>1 12 00000 00 0000 120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</si>
  <si>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</si>
  <si>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</si>
  <si>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</si>
  <si>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</si>
  <si>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</si>
  <si>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</si>
  <si>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</si>
  <si>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</si>
  <si>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</si>
  <si>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</si>
  <si>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</si>
  <si>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</si>
  <si>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</si>
  <si>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</si>
  <si>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</si>
  <si>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</si>
  <si>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</si>
  <si>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</si>
  <si>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</si>
  <si>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</si>
  <si>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</si>
  <si>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</si>
  <si>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</si>
  <si>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</si>
  <si>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</si>
  <si>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</si>
  <si>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</si>
  <si>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</si>
  <si>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</si>
  <si>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</si>
  <si>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</si>
  <si>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</si>
  <si>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</si>
  <si>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</si>
  <si>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</si>
  <si>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>1 17 05040 04 2000 180</t>
  </si>
  <si>
    <t>1 17 05040 04 1000 180</t>
  </si>
  <si>
    <t>1 14 02 04 3 04 3 000 410</t>
  </si>
  <si>
    <t>1 14 02 04 3 04 1 000 410</t>
  </si>
  <si>
    <t>1 14 02 04 3 04 2 000 410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</si>
  <si>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</si>
  <si>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</si>
  <si>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</si>
  <si>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t>2 02 10000 00 0000 000</t>
  </si>
  <si>
    <t>2 02 20000 00 0000 000</t>
  </si>
  <si>
    <t>2 02 30000 00 0000 000</t>
  </si>
  <si>
    <t>2 02 40000 00 0000 000</t>
  </si>
  <si>
    <t>1 13 02994 04 0030 130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</si>
  <si>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</si>
  <si>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</si>
  <si>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</si>
  <si>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</si>
  <si>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</si>
  <si>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</si>
  <si>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</si>
  <si>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</si>
  <si>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</si>
  <si>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</si>
  <si>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</si>
  <si>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</si>
  <si>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</si>
  <si>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</si>
  <si>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</si>
  <si>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</si>
  <si>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1 06 04000 00 0000 110</t>
  </si>
  <si>
    <t>Инициативные платежи</t>
  </si>
  <si>
    <t>1 17 15020 04 0000 180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</si>
  <si>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</si>
  <si>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</si>
  <si>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</si>
  <si>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</si>
  <si>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1 11 05400 00 0000 120</t>
  </si>
  <si>
    <t>11705,  11109,  11402</t>
  </si>
  <si>
    <t>январь-август</t>
  </si>
  <si>
    <t>август</t>
  </si>
  <si>
    <t>факта за август от плана августа</t>
  </si>
  <si>
    <t>Факт с нач. 2022 года      (по 31.08.22 вкл.)</t>
  </si>
  <si>
    <t>с нач. года на 01.09.2023 (по 31.08.2023 вкл.)</t>
  </si>
  <si>
    <t>111 0501204 1020 120,       111 0502404 1020 120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</si>
</sst>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"/>
  </numFmts>
  <fonts count="45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7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horizontal="right" wrapText="1"/>
    </xf>
    <xf numFmtId="167" fontId="3" fillId="0" borderId="11" xfId="0" applyNumberFormat="1" applyFont="1" applyFill="1" applyBorder="1" applyAlignment="1">
      <alignment horizontal="right" wrapText="1"/>
    </xf>
    <xf numFmtId="167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4" fontId="3" fillId="33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6" fontId="4" fillId="0" borderId="11" xfId="0" applyNumberFormat="1" applyFont="1" applyFill="1" applyBorder="1" applyAlignment="1">
      <alignment horizontal="left" wrapText="1"/>
    </xf>
    <xf numFmtId="166" fontId="8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8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9" fontId="4" fillId="0" borderId="11" xfId="147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67" fontId="4" fillId="0" borderId="14" xfId="0" applyNumberFormat="1" applyFont="1" applyFill="1" applyBorder="1" applyAlignment="1">
      <alignment horizontal="center" vertical="center" wrapText="1"/>
    </xf>
    <xf numFmtId="167" fontId="4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1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9" xfId="142"/>
    <cellStyle name="Плохой" xfId="143"/>
    <cellStyle name="Пояснение" xfId="144"/>
    <cellStyle name="Примечание" xfId="145"/>
    <cellStyle name="Percent" xfId="146"/>
    <cellStyle name="Процентный 2" xfId="147"/>
    <cellStyle name="Процентный 2 2" xfId="148"/>
    <cellStyle name="Связанная ячейка" xfId="149"/>
    <cellStyle name="Текст предупреждения" xfId="150"/>
    <cellStyle name="Comma" xfId="151"/>
    <cellStyle name="Comma [0]" xfId="152"/>
    <cellStyle name="Финансовый 2" xfId="153"/>
    <cellStyle name="Финансовый 3" xfId="154"/>
    <cellStyle name="Хороший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tabSelected="1" zoomScale="89" zoomScaleNormal="89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6" sqref="H16"/>
    </sheetView>
  </sheetViews>
  <sheetFormatPr defaultColWidth="9.00390625" defaultRowHeight="12.75"/>
  <cols>
    <col min="1" max="2" width="9.125" style="48" customWidth="1"/>
    <col min="3" max="3" width="18.375" style="97" hidden="1" customWidth="1"/>
    <col min="4" max="4" width="65.75390625" style="48" customWidth="1"/>
    <col min="5" max="5" width="14.625" style="51" customWidth="1"/>
    <col min="6" max="6" width="14.375" style="48" customWidth="1"/>
    <col min="7" max="7" width="14.75390625" style="100" customWidth="1"/>
    <col min="8" max="8" width="13.00390625" style="100" customWidth="1"/>
    <col min="9" max="9" width="16.25390625" style="66" customWidth="1"/>
    <col min="10" max="10" width="13.875" style="66" customWidth="1"/>
    <col min="11" max="11" width="15.125" style="48" customWidth="1"/>
    <col min="12" max="12" width="14.375" style="48" customWidth="1"/>
    <col min="13" max="13" width="15.625" style="48" customWidth="1"/>
    <col min="14" max="14" width="13.75390625" style="48" customWidth="1"/>
    <col min="15" max="15" width="11.75390625" style="48" customWidth="1"/>
    <col min="16" max="16" width="11.125" style="48" customWidth="1"/>
    <col min="17" max="17" width="11.875" style="48" customWidth="1"/>
    <col min="18" max="16384" width="9.125" style="48" customWidth="1"/>
  </cols>
  <sheetData>
    <row r="1" spans="1:17" ht="20.25">
      <c r="A1" s="114" t="s">
        <v>135</v>
      </c>
      <c r="B1" s="114"/>
      <c r="C1" s="115"/>
      <c r="D1" s="114"/>
      <c r="E1" s="114"/>
      <c r="F1" s="114"/>
      <c r="G1" s="116"/>
      <c r="H1" s="116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20.25" customHeight="1">
      <c r="A2" s="29"/>
      <c r="B2" s="30"/>
      <c r="C2" s="83"/>
      <c r="D2" s="27"/>
      <c r="E2" s="55"/>
      <c r="F2" s="27"/>
      <c r="G2" s="55"/>
      <c r="H2" s="55"/>
      <c r="I2" s="55"/>
      <c r="J2" s="55"/>
      <c r="K2" s="55"/>
      <c r="L2" s="55"/>
      <c r="M2" s="55"/>
      <c r="N2" s="55"/>
      <c r="O2" s="55"/>
      <c r="P2" s="55"/>
      <c r="Q2" s="26" t="s">
        <v>0</v>
      </c>
    </row>
    <row r="3" spans="1:17" ht="20.25" customHeight="1">
      <c r="A3" s="117" t="s">
        <v>1</v>
      </c>
      <c r="B3" s="112" t="s">
        <v>2</v>
      </c>
      <c r="C3" s="118" t="s">
        <v>3</v>
      </c>
      <c r="D3" s="120" t="s">
        <v>4</v>
      </c>
      <c r="E3" s="122" t="s">
        <v>158</v>
      </c>
      <c r="F3" s="124" t="s">
        <v>134</v>
      </c>
      <c r="G3" s="125"/>
      <c r="H3" s="126"/>
      <c r="I3" s="142" t="s">
        <v>136</v>
      </c>
      <c r="J3" s="143"/>
      <c r="K3" s="124" t="s">
        <v>5</v>
      </c>
      <c r="L3" s="125"/>
      <c r="M3" s="125"/>
      <c r="N3" s="126"/>
      <c r="O3" s="128" t="s">
        <v>151</v>
      </c>
      <c r="P3" s="127" t="s">
        <v>149</v>
      </c>
      <c r="Q3" s="128" t="s">
        <v>150</v>
      </c>
    </row>
    <row r="4" spans="1:17" ht="63">
      <c r="A4" s="117"/>
      <c r="B4" s="112"/>
      <c r="C4" s="119"/>
      <c r="D4" s="121"/>
      <c r="E4" s="123"/>
      <c r="F4" s="1" t="s">
        <v>131</v>
      </c>
      <c r="G4" s="1" t="s">
        <v>155</v>
      </c>
      <c r="H4" s="1" t="s">
        <v>156</v>
      </c>
      <c r="I4" s="60" t="s">
        <v>159</v>
      </c>
      <c r="J4" s="61" t="s">
        <v>156</v>
      </c>
      <c r="K4" s="1" t="s">
        <v>137</v>
      </c>
      <c r="L4" s="1" t="s">
        <v>6</v>
      </c>
      <c r="M4" s="1" t="s">
        <v>138</v>
      </c>
      <c r="N4" s="1" t="s">
        <v>157</v>
      </c>
      <c r="O4" s="128"/>
      <c r="P4" s="127"/>
      <c r="Q4" s="128"/>
    </row>
    <row r="5" spans="1:17" ht="25.5" customHeight="1">
      <c r="A5" s="67"/>
      <c r="B5" s="68"/>
      <c r="C5" s="84"/>
      <c r="D5" s="69" t="s">
        <v>7</v>
      </c>
      <c r="E5" s="44">
        <f>E17+E19+E21+E18+E20</f>
        <v>10052257.66</v>
      </c>
      <c r="F5" s="44">
        <f>F17+F19+F21+F18+F20</f>
        <v>20002935.000000004</v>
      </c>
      <c r="G5" s="44">
        <f>G17+G19+G21+G18+G20</f>
        <v>11229069</v>
      </c>
      <c r="H5" s="44">
        <f>H17+H19+H21+H18+H20</f>
        <v>1276377.7999999998</v>
      </c>
      <c r="I5" s="44">
        <f>I17+I19+I21+I18+I20</f>
        <v>11103660.969999997</v>
      </c>
      <c r="J5" s="44">
        <f>J17+J19+J21+J18+J20</f>
        <v>1377815.84</v>
      </c>
      <c r="K5" s="70">
        <f>I5-E5</f>
        <v>1051403.3099999968</v>
      </c>
      <c r="L5" s="70">
        <f>I5-G5</f>
        <v>-125408.03000000305</v>
      </c>
      <c r="M5" s="70">
        <f>I5-F5</f>
        <v>-8899274.030000007</v>
      </c>
      <c r="N5" s="70">
        <f>J5-H5</f>
        <v>101438.04000000027</v>
      </c>
      <c r="O5" s="71">
        <f aca="true" t="shared" si="0" ref="O5:O36">_xlfn.IFERROR(I5/E5,"")</f>
        <v>1.1045937485450406</v>
      </c>
      <c r="P5" s="71">
        <f aca="true" t="shared" si="1" ref="P5:P36">_xlfn.IFERROR(I5/G5,"")</f>
        <v>0.9888318408231348</v>
      </c>
      <c r="Q5" s="71">
        <f aca="true" t="shared" si="2" ref="Q5:Q36">_xlfn.IFERROR(I5/F5,"")</f>
        <v>0.5551015873420573</v>
      </c>
    </row>
    <row r="6" spans="1:18" ht="18" customHeight="1">
      <c r="A6" s="148" t="s">
        <v>12</v>
      </c>
      <c r="B6" s="56" t="s">
        <v>13</v>
      </c>
      <c r="C6" s="84" t="s">
        <v>14</v>
      </c>
      <c r="D6" s="4" t="s">
        <v>15</v>
      </c>
      <c r="E6" s="33">
        <v>7626762.93</v>
      </c>
      <c r="F6" s="5">
        <f>14235121.9+613644.6</f>
        <v>14848766.5</v>
      </c>
      <c r="G6" s="5">
        <v>8425302.2</v>
      </c>
      <c r="H6" s="5">
        <v>1152227.9</v>
      </c>
      <c r="I6" s="5">
        <v>8604007.139999999</v>
      </c>
      <c r="J6" s="5">
        <v>1268764.18</v>
      </c>
      <c r="K6" s="5">
        <f aca="true" t="shared" si="3" ref="K6:K58">I6-E6</f>
        <v>977244.209999999</v>
      </c>
      <c r="L6" s="5">
        <f aca="true" t="shared" si="4" ref="L6:L65">I6-G6</f>
        <v>178704.93999999948</v>
      </c>
      <c r="M6" s="5">
        <f aca="true" t="shared" si="5" ref="M6:M65">I6-F6</f>
        <v>-6244759.360000001</v>
      </c>
      <c r="N6" s="5">
        <f>J6-H6</f>
        <v>116536.28000000003</v>
      </c>
      <c r="O6" s="38">
        <f t="shared" si="0"/>
        <v>1.1281335501010517</v>
      </c>
      <c r="P6" s="38">
        <f t="shared" si="1"/>
        <v>1.0212105080337652</v>
      </c>
      <c r="Q6" s="38">
        <f t="shared" si="2"/>
        <v>0.5794425510024687</v>
      </c>
      <c r="R6" s="52"/>
    </row>
    <row r="7" spans="1:18" ht="18" customHeight="1">
      <c r="A7" s="140"/>
      <c r="B7" s="56" t="s">
        <v>8</v>
      </c>
      <c r="C7" s="84" t="s">
        <v>9</v>
      </c>
      <c r="D7" s="2" t="s">
        <v>10</v>
      </c>
      <c r="E7" s="32">
        <v>48659.19</v>
      </c>
      <c r="F7" s="3">
        <v>80057.5</v>
      </c>
      <c r="G7" s="3">
        <v>51550</v>
      </c>
      <c r="H7" s="3">
        <v>7220</v>
      </c>
      <c r="I7" s="5">
        <v>51006.310000000005</v>
      </c>
      <c r="J7" s="5">
        <v>6974.4400000000005</v>
      </c>
      <c r="K7" s="3">
        <f>I7-E7</f>
        <v>2347.1200000000026</v>
      </c>
      <c r="L7" s="3">
        <f>I7-G7</f>
        <v>-543.689999999995</v>
      </c>
      <c r="M7" s="3">
        <f>I7-F7</f>
        <v>-29051.189999999995</v>
      </c>
      <c r="N7" s="3">
        <f>J7-H7</f>
        <v>-245.5599999999995</v>
      </c>
      <c r="O7" s="38">
        <f t="shared" si="0"/>
        <v>1.0482359036391686</v>
      </c>
      <c r="P7" s="38">
        <f t="shared" si="1"/>
        <v>0.9894531522793405</v>
      </c>
      <c r="Q7" s="38">
        <f t="shared" si="2"/>
        <v>0.6371209443212692</v>
      </c>
      <c r="R7" s="52"/>
    </row>
    <row r="8" spans="1:18" ht="18" customHeight="1">
      <c r="A8" s="140"/>
      <c r="B8" s="56" t="s">
        <v>13</v>
      </c>
      <c r="C8" s="85" t="s">
        <v>140</v>
      </c>
      <c r="D8" s="34" t="s">
        <v>139</v>
      </c>
      <c r="E8" s="33"/>
      <c r="F8" s="33">
        <v>1204375.9</v>
      </c>
      <c r="G8" s="33">
        <v>899375.9</v>
      </c>
      <c r="H8" s="33">
        <v>50000</v>
      </c>
      <c r="I8" s="5">
        <v>765849.8599999999</v>
      </c>
      <c r="J8" s="5">
        <v>38812.29</v>
      </c>
      <c r="K8" s="5">
        <f>I8-E8</f>
        <v>765849.8599999999</v>
      </c>
      <c r="L8" s="5">
        <f>I8-G8</f>
        <v>-133526.04000000015</v>
      </c>
      <c r="M8" s="5">
        <f>I8-F8</f>
        <v>-438526.04000000004</v>
      </c>
      <c r="N8" s="5">
        <f aca="true" t="shared" si="6" ref="N8:N65">J8-H8</f>
        <v>-11187.71</v>
      </c>
      <c r="O8" s="38">
        <f>_xlfn.IFERROR(I8/E8,"")</f>
      </c>
      <c r="P8" s="38">
        <f t="shared" si="1"/>
        <v>0.8515347809519911</v>
      </c>
      <c r="Q8" s="38">
        <f t="shared" si="2"/>
        <v>0.6358893930042937</v>
      </c>
      <c r="R8" s="52"/>
    </row>
    <row r="9" spans="1:18" ht="18" customHeight="1">
      <c r="A9" s="140"/>
      <c r="B9" s="56" t="s">
        <v>13</v>
      </c>
      <c r="C9" s="84" t="s">
        <v>16</v>
      </c>
      <c r="D9" s="4" t="s">
        <v>17</v>
      </c>
      <c r="E9" s="33">
        <v>84.84000000000003</v>
      </c>
      <c r="F9" s="5"/>
      <c r="G9" s="5"/>
      <c r="H9" s="5"/>
      <c r="I9" s="5">
        <v>-1727.46</v>
      </c>
      <c r="J9" s="5">
        <v>75.31</v>
      </c>
      <c r="K9" s="5">
        <f>I9-E9</f>
        <v>-1812.3000000000002</v>
      </c>
      <c r="L9" s="5">
        <f>I9-G9</f>
        <v>-1727.46</v>
      </c>
      <c r="M9" s="5">
        <f t="shared" si="5"/>
        <v>-1727.46</v>
      </c>
      <c r="N9" s="5">
        <f t="shared" si="6"/>
        <v>75.31</v>
      </c>
      <c r="O9" s="38">
        <f>_xlfn.IFERROR(I9/E9,"")</f>
        <v>-20.361386138613856</v>
      </c>
      <c r="P9" s="38">
        <f t="shared" si="1"/>
      </c>
      <c r="Q9" s="38">
        <f t="shared" si="2"/>
      </c>
      <c r="R9" s="52"/>
    </row>
    <row r="10" spans="1:18" ht="18" customHeight="1">
      <c r="A10" s="140"/>
      <c r="B10" s="56" t="s">
        <v>13</v>
      </c>
      <c r="C10" s="84" t="s">
        <v>18</v>
      </c>
      <c r="D10" s="4" t="s">
        <v>19</v>
      </c>
      <c r="E10" s="33">
        <v>4075.88</v>
      </c>
      <c r="F10" s="5">
        <v>4690.3</v>
      </c>
      <c r="G10" s="5">
        <v>4690.3</v>
      </c>
      <c r="H10" s="5">
        <v>1969.9</v>
      </c>
      <c r="I10" s="5">
        <v>-1429.1</v>
      </c>
      <c r="J10" s="5">
        <v>9.04</v>
      </c>
      <c r="K10" s="5">
        <f t="shared" si="3"/>
        <v>-5504.98</v>
      </c>
      <c r="L10" s="5">
        <f t="shared" si="4"/>
        <v>-6119.4</v>
      </c>
      <c r="M10" s="5">
        <f t="shared" si="5"/>
        <v>-6119.4</v>
      </c>
      <c r="N10" s="5">
        <f t="shared" si="6"/>
        <v>-1960.8600000000001</v>
      </c>
      <c r="O10" s="38">
        <f t="shared" si="0"/>
        <v>-0.35062366899908726</v>
      </c>
      <c r="P10" s="38">
        <f t="shared" si="1"/>
        <v>-0.3046926635822868</v>
      </c>
      <c r="Q10" s="38">
        <f t="shared" si="2"/>
        <v>-0.3046926635822868</v>
      </c>
      <c r="R10" s="52"/>
    </row>
    <row r="11" spans="1:18" ht="18" customHeight="1">
      <c r="A11" s="140"/>
      <c r="B11" s="56" t="s">
        <v>13</v>
      </c>
      <c r="C11" s="84" t="s">
        <v>20</v>
      </c>
      <c r="D11" s="4" t="s">
        <v>142</v>
      </c>
      <c r="E11" s="33">
        <v>134693.44999999998</v>
      </c>
      <c r="F11" s="5">
        <v>314766.5</v>
      </c>
      <c r="G11" s="5">
        <v>157893</v>
      </c>
      <c r="H11" s="5">
        <v>1490</v>
      </c>
      <c r="I11" s="5">
        <v>125882.79000000001</v>
      </c>
      <c r="J11" s="5">
        <v>3466.28</v>
      </c>
      <c r="K11" s="5">
        <f t="shared" si="3"/>
        <v>-8810.659999999974</v>
      </c>
      <c r="L11" s="5">
        <f t="shared" si="4"/>
        <v>-32010.209999999992</v>
      </c>
      <c r="M11" s="5">
        <f t="shared" si="5"/>
        <v>-188883.71</v>
      </c>
      <c r="N11" s="5">
        <f t="shared" si="6"/>
        <v>1976.2800000000002</v>
      </c>
      <c r="O11" s="38">
        <f t="shared" si="0"/>
        <v>0.9345873166067097</v>
      </c>
      <c r="P11" s="38">
        <f t="shared" si="1"/>
        <v>0.7972664399308393</v>
      </c>
      <c r="Q11" s="38">
        <f t="shared" si="2"/>
        <v>0.3999243566262611</v>
      </c>
      <c r="R11" s="52"/>
    </row>
    <row r="12" spans="1:18" ht="18" customHeight="1">
      <c r="A12" s="140"/>
      <c r="B12" s="56" t="s">
        <v>21</v>
      </c>
      <c r="C12" s="84" t="s">
        <v>22</v>
      </c>
      <c r="D12" s="4" t="s">
        <v>23</v>
      </c>
      <c r="E12" s="33">
        <v>67984.08</v>
      </c>
      <c r="F12" s="5">
        <v>1083466.2</v>
      </c>
      <c r="G12" s="5">
        <v>86700</v>
      </c>
      <c r="H12" s="5">
        <v>9600</v>
      </c>
      <c r="I12" s="5">
        <v>53285.579999999994</v>
      </c>
      <c r="J12" s="5">
        <v>8735.5</v>
      </c>
      <c r="K12" s="5">
        <f t="shared" si="3"/>
        <v>-14698.500000000007</v>
      </c>
      <c r="L12" s="5">
        <f t="shared" si="4"/>
        <v>-33414.420000000006</v>
      </c>
      <c r="M12" s="5">
        <f t="shared" si="5"/>
        <v>-1030180.62</v>
      </c>
      <c r="N12" s="5">
        <f t="shared" si="6"/>
        <v>-864.5</v>
      </c>
      <c r="O12" s="38">
        <f t="shared" si="0"/>
        <v>0.7837949708225808</v>
      </c>
      <c r="P12" s="38">
        <f t="shared" si="1"/>
        <v>0.61459723183391</v>
      </c>
      <c r="Q12" s="38">
        <f t="shared" si="2"/>
        <v>0.049180657412293986</v>
      </c>
      <c r="R12" s="52"/>
    </row>
    <row r="13" spans="1:18" ht="18" customHeight="1">
      <c r="A13" s="140"/>
      <c r="B13" s="56" t="s">
        <v>105</v>
      </c>
      <c r="C13" s="84" t="s">
        <v>146</v>
      </c>
      <c r="D13" s="4" t="s">
        <v>145</v>
      </c>
      <c r="E13" s="33">
        <v>502050.03</v>
      </c>
      <c r="F13" s="5"/>
      <c r="G13" s="5"/>
      <c r="H13" s="5"/>
      <c r="I13" s="5">
        <v>0</v>
      </c>
      <c r="J13" s="5">
        <v>0</v>
      </c>
      <c r="K13" s="5">
        <f t="shared" si="3"/>
        <v>-502050.03</v>
      </c>
      <c r="L13" s="5">
        <f t="shared" si="4"/>
        <v>0</v>
      </c>
      <c r="M13" s="5">
        <f t="shared" si="5"/>
        <v>0</v>
      </c>
      <c r="N13" s="5">
        <f t="shared" si="6"/>
        <v>0</v>
      </c>
      <c r="O13" s="38">
        <f t="shared" si="0"/>
        <v>0</v>
      </c>
      <c r="P13" s="38">
        <f t="shared" si="1"/>
      </c>
      <c r="Q13" s="38">
        <f t="shared" si="2"/>
      </c>
      <c r="R13" s="52"/>
    </row>
    <row r="14" spans="1:18" ht="18" customHeight="1">
      <c r="A14" s="140"/>
      <c r="B14" s="56" t="s">
        <v>21</v>
      </c>
      <c r="C14" s="84" t="s">
        <v>24</v>
      </c>
      <c r="D14" s="4" t="s">
        <v>25</v>
      </c>
      <c r="E14" s="33">
        <v>1520079.5</v>
      </c>
      <c r="F14" s="5">
        <v>2237196.9</v>
      </c>
      <c r="G14" s="5">
        <v>1456400</v>
      </c>
      <c r="H14" s="5">
        <v>34000</v>
      </c>
      <c r="I14" s="5">
        <v>1375563.5899999999</v>
      </c>
      <c r="J14" s="5">
        <v>32814.78</v>
      </c>
      <c r="K14" s="5">
        <f t="shared" si="3"/>
        <v>-144515.91000000015</v>
      </c>
      <c r="L14" s="5">
        <f t="shared" si="4"/>
        <v>-80836.41000000015</v>
      </c>
      <c r="M14" s="5">
        <f t="shared" si="5"/>
        <v>-861633.31</v>
      </c>
      <c r="N14" s="5">
        <f t="shared" si="6"/>
        <v>-1185.2200000000012</v>
      </c>
      <c r="O14" s="38">
        <f t="shared" si="0"/>
        <v>0.9049287158993986</v>
      </c>
      <c r="P14" s="38">
        <f t="shared" si="1"/>
        <v>0.9444957360615215</v>
      </c>
      <c r="Q14" s="38">
        <f t="shared" si="2"/>
        <v>0.6148603147090003</v>
      </c>
      <c r="R14" s="52"/>
    </row>
    <row r="15" spans="1:18" ht="18" customHeight="1">
      <c r="A15" s="140"/>
      <c r="B15" s="56" t="s">
        <v>26</v>
      </c>
      <c r="C15" s="84" t="s">
        <v>27</v>
      </c>
      <c r="D15" s="4" t="s">
        <v>28</v>
      </c>
      <c r="E15" s="33">
        <v>146962.7</v>
      </c>
      <c r="F15" s="5">
        <v>228385.6</v>
      </c>
      <c r="G15" s="5">
        <v>146320.6</v>
      </c>
      <c r="H15" s="5">
        <v>19740</v>
      </c>
      <c r="I15" s="5">
        <v>130980.24</v>
      </c>
      <c r="J15" s="5">
        <v>18122.02</v>
      </c>
      <c r="K15" s="5">
        <f t="shared" si="3"/>
        <v>-15982.460000000006</v>
      </c>
      <c r="L15" s="5">
        <f t="shared" si="4"/>
        <v>-15340.36</v>
      </c>
      <c r="M15" s="5">
        <f t="shared" si="5"/>
        <v>-97405.36</v>
      </c>
      <c r="N15" s="5">
        <f t="shared" si="6"/>
        <v>-1617.9799999999996</v>
      </c>
      <c r="O15" s="38">
        <f t="shared" si="0"/>
        <v>0.8912481874652548</v>
      </c>
      <c r="P15" s="38">
        <f t="shared" si="1"/>
        <v>0.8951592598718158</v>
      </c>
      <c r="Q15" s="38">
        <f t="shared" si="2"/>
        <v>0.5735048094100503</v>
      </c>
      <c r="R15" s="52"/>
    </row>
    <row r="16" spans="1:18" ht="18" customHeight="1">
      <c r="A16" s="140"/>
      <c r="B16" s="56" t="s">
        <v>21</v>
      </c>
      <c r="C16" s="84" t="s">
        <v>29</v>
      </c>
      <c r="D16" s="4" t="s">
        <v>30</v>
      </c>
      <c r="E16" s="33">
        <v>18.060000000000002</v>
      </c>
      <c r="F16" s="5"/>
      <c r="G16" s="5"/>
      <c r="H16" s="5"/>
      <c r="I16" s="5">
        <v>-0.1</v>
      </c>
      <c r="J16" s="5">
        <v>0</v>
      </c>
      <c r="K16" s="5">
        <f t="shared" si="3"/>
        <v>-18.160000000000004</v>
      </c>
      <c r="L16" s="5">
        <f t="shared" si="4"/>
        <v>-0.1</v>
      </c>
      <c r="M16" s="5">
        <f t="shared" si="5"/>
        <v>-0.1</v>
      </c>
      <c r="N16" s="5">
        <f t="shared" si="6"/>
        <v>0</v>
      </c>
      <c r="O16" s="38">
        <f t="shared" si="0"/>
        <v>-0.005537098560354374</v>
      </c>
      <c r="P16" s="38">
        <f t="shared" si="1"/>
      </c>
      <c r="Q16" s="38">
        <f t="shared" si="2"/>
      </c>
      <c r="R16" s="52"/>
    </row>
    <row r="17" spans="1:18" ht="18" customHeight="1">
      <c r="A17" s="145"/>
      <c r="B17" s="72"/>
      <c r="C17" s="86"/>
      <c r="D17" s="73" t="s">
        <v>11</v>
      </c>
      <c r="E17" s="28">
        <f>SUM(E6:E16)</f>
        <v>10051370.66</v>
      </c>
      <c r="F17" s="28">
        <f>SUM(F6:F16)</f>
        <v>20001705.400000002</v>
      </c>
      <c r="G17" s="28">
        <f>SUM(G6:G16)</f>
        <v>11228232</v>
      </c>
      <c r="H17" s="28">
        <f>SUM(H6:H16)</f>
        <v>1276247.7999999998</v>
      </c>
      <c r="I17" s="28">
        <f>SUM(I6:I16)</f>
        <v>11103418.849999998</v>
      </c>
      <c r="J17" s="28">
        <f>SUM(J6:J16)</f>
        <v>1377773.84</v>
      </c>
      <c r="K17" s="28">
        <f t="shared" si="3"/>
        <v>1052048.1899999976</v>
      </c>
      <c r="L17" s="28">
        <f t="shared" si="4"/>
        <v>-124813.15000000224</v>
      </c>
      <c r="M17" s="28">
        <f t="shared" si="5"/>
        <v>-8898286.550000004</v>
      </c>
      <c r="N17" s="28">
        <f>J17-H17</f>
        <v>101526.04000000027</v>
      </c>
      <c r="O17" s="74">
        <f t="shared" si="0"/>
        <v>1.1046671370091528</v>
      </c>
      <c r="P17" s="74">
        <f t="shared" si="1"/>
        <v>0.9888839890376327</v>
      </c>
      <c r="Q17" s="74">
        <f t="shared" si="2"/>
        <v>0.5551236071100215</v>
      </c>
      <c r="R17" s="52"/>
    </row>
    <row r="18" spans="1:18" ht="18" customHeight="1">
      <c r="A18" s="57" t="s">
        <v>102</v>
      </c>
      <c r="B18" s="56" t="s">
        <v>32</v>
      </c>
      <c r="C18" s="84" t="s">
        <v>34</v>
      </c>
      <c r="D18" s="4" t="s">
        <v>35</v>
      </c>
      <c r="E18" s="33">
        <v>56</v>
      </c>
      <c r="F18" s="5">
        <v>140</v>
      </c>
      <c r="G18" s="5">
        <v>90</v>
      </c>
      <c r="H18" s="5">
        <v>10</v>
      </c>
      <c r="I18" s="5">
        <v>40</v>
      </c>
      <c r="J18" s="5">
        <v>0</v>
      </c>
      <c r="K18" s="5">
        <f t="shared" si="3"/>
        <v>-16</v>
      </c>
      <c r="L18" s="5">
        <f t="shared" si="4"/>
        <v>-50</v>
      </c>
      <c r="M18" s="5">
        <f t="shared" si="5"/>
        <v>-100</v>
      </c>
      <c r="N18" s="5">
        <f t="shared" si="6"/>
        <v>-10</v>
      </c>
      <c r="O18" s="38">
        <f t="shared" si="0"/>
        <v>0.7142857142857143</v>
      </c>
      <c r="P18" s="38">
        <f t="shared" si="1"/>
        <v>0.4444444444444444</v>
      </c>
      <c r="Q18" s="38">
        <f t="shared" si="2"/>
        <v>0.2857142857142857</v>
      </c>
      <c r="R18" s="52"/>
    </row>
    <row r="19" spans="1:18" ht="18" customHeight="1">
      <c r="A19" s="57" t="s">
        <v>31</v>
      </c>
      <c r="B19" s="56" t="s">
        <v>32</v>
      </c>
      <c r="C19" s="84" t="s">
        <v>33</v>
      </c>
      <c r="D19" s="4" t="s">
        <v>141</v>
      </c>
      <c r="E19" s="33">
        <v>141.4</v>
      </c>
      <c r="F19" s="5">
        <v>0</v>
      </c>
      <c r="G19" s="5">
        <v>0</v>
      </c>
      <c r="H19" s="5">
        <v>0</v>
      </c>
      <c r="I19" s="5">
        <v>104.6</v>
      </c>
      <c r="J19" s="5">
        <v>27</v>
      </c>
      <c r="K19" s="5">
        <f t="shared" si="3"/>
        <v>-36.80000000000001</v>
      </c>
      <c r="L19" s="5">
        <f t="shared" si="4"/>
        <v>104.6</v>
      </c>
      <c r="M19" s="5">
        <f t="shared" si="5"/>
        <v>104.6</v>
      </c>
      <c r="N19" s="5">
        <f t="shared" si="6"/>
        <v>27</v>
      </c>
      <c r="O19" s="38">
        <f t="shared" si="0"/>
        <v>0.7397454031117396</v>
      </c>
      <c r="P19" s="38">
        <f t="shared" si="1"/>
      </c>
      <c r="Q19" s="38">
        <f t="shared" si="2"/>
      </c>
      <c r="R19" s="52"/>
    </row>
    <row r="20" spans="1:18" ht="31.5">
      <c r="A20" s="58" t="s">
        <v>38</v>
      </c>
      <c r="B20" s="59" t="s">
        <v>104</v>
      </c>
      <c r="C20" s="84" t="s">
        <v>39</v>
      </c>
      <c r="D20" s="4" t="s">
        <v>40</v>
      </c>
      <c r="E20" s="33">
        <v>649.6</v>
      </c>
      <c r="F20" s="5">
        <v>969.6</v>
      </c>
      <c r="G20" s="5">
        <v>677</v>
      </c>
      <c r="H20" s="5">
        <v>105</v>
      </c>
      <c r="I20" s="5">
        <v>-2.48</v>
      </c>
      <c r="J20" s="5">
        <v>0</v>
      </c>
      <c r="K20" s="5">
        <f t="shared" si="3"/>
        <v>-652.08</v>
      </c>
      <c r="L20" s="5">
        <f t="shared" si="4"/>
        <v>-679.48</v>
      </c>
      <c r="M20" s="5">
        <f t="shared" si="5"/>
        <v>-972.08</v>
      </c>
      <c r="N20" s="5">
        <f t="shared" si="6"/>
        <v>-105</v>
      </c>
      <c r="O20" s="38">
        <f t="shared" si="0"/>
        <v>-0.003817733990147783</v>
      </c>
      <c r="P20" s="38">
        <f t="shared" si="1"/>
        <v>-0.0036632200886262925</v>
      </c>
      <c r="Q20" s="38">
        <f t="shared" si="2"/>
        <v>-0.0025577557755775576</v>
      </c>
      <c r="R20" s="52"/>
    </row>
    <row r="21" spans="1:18" ht="18" customHeight="1">
      <c r="A21" s="57" t="s">
        <v>36</v>
      </c>
      <c r="B21" s="56" t="s">
        <v>13</v>
      </c>
      <c r="C21" s="84" t="s">
        <v>37</v>
      </c>
      <c r="D21" s="4" t="s">
        <v>106</v>
      </c>
      <c r="E21" s="33">
        <v>40</v>
      </c>
      <c r="F21" s="5">
        <v>120</v>
      </c>
      <c r="G21" s="5">
        <v>70</v>
      </c>
      <c r="H21" s="5">
        <v>15</v>
      </c>
      <c r="I21" s="5">
        <v>100</v>
      </c>
      <c r="J21" s="5">
        <v>15</v>
      </c>
      <c r="K21" s="5">
        <f t="shared" si="3"/>
        <v>60</v>
      </c>
      <c r="L21" s="5">
        <f t="shared" si="4"/>
        <v>30</v>
      </c>
      <c r="M21" s="5">
        <f t="shared" si="5"/>
        <v>-20</v>
      </c>
      <c r="N21" s="5">
        <f t="shared" si="6"/>
        <v>0</v>
      </c>
      <c r="O21" s="38">
        <f t="shared" si="0"/>
        <v>2.5</v>
      </c>
      <c r="P21" s="38">
        <f t="shared" si="1"/>
        <v>1.4285714285714286</v>
      </c>
      <c r="Q21" s="38">
        <f t="shared" si="2"/>
        <v>0.8333333333333334</v>
      </c>
      <c r="R21" s="52"/>
    </row>
    <row r="22" spans="1:18" ht="28.5" customHeight="1">
      <c r="A22" s="149"/>
      <c r="B22" s="149"/>
      <c r="C22" s="150"/>
      <c r="D22" s="45" t="s">
        <v>41</v>
      </c>
      <c r="E22" s="44">
        <f aca="true" t="shared" si="7" ref="E22:J22">E26+E29+E37+E47+E49+E54+E57+E59+E68</f>
        <v>3985075.7199999993</v>
      </c>
      <c r="F22" s="70">
        <f t="shared" si="7"/>
        <v>6578599.109999999</v>
      </c>
      <c r="G22" s="70">
        <f t="shared" si="7"/>
        <v>4088015.62</v>
      </c>
      <c r="H22" s="70">
        <f t="shared" si="7"/>
        <v>510407.5299999999</v>
      </c>
      <c r="I22" s="70">
        <f t="shared" si="7"/>
        <v>4562490.349999997</v>
      </c>
      <c r="J22" s="70">
        <f t="shared" si="7"/>
        <v>572116.6099999999</v>
      </c>
      <c r="K22" s="70">
        <f t="shared" si="3"/>
        <v>577414.6299999976</v>
      </c>
      <c r="L22" s="70">
        <f t="shared" si="4"/>
        <v>474474.7299999967</v>
      </c>
      <c r="M22" s="70">
        <f t="shared" si="5"/>
        <v>-2016108.7600000026</v>
      </c>
      <c r="N22" s="70">
        <f t="shared" si="6"/>
        <v>61709.07999999996</v>
      </c>
      <c r="O22" s="71">
        <f t="shared" si="0"/>
        <v>1.1448942681570924</v>
      </c>
      <c r="P22" s="71">
        <f t="shared" si="1"/>
        <v>1.116064803588005</v>
      </c>
      <c r="Q22" s="71">
        <f t="shared" si="2"/>
        <v>0.6935352456824196</v>
      </c>
      <c r="R22" s="52"/>
    </row>
    <row r="23" spans="1:17" ht="18" customHeight="1">
      <c r="A23" s="144" t="s">
        <v>38</v>
      </c>
      <c r="B23" s="146" t="s">
        <v>104</v>
      </c>
      <c r="C23" s="87" t="s">
        <v>72</v>
      </c>
      <c r="D23" s="6" t="s">
        <v>143</v>
      </c>
      <c r="E23" s="36">
        <v>75303.68</v>
      </c>
      <c r="F23" s="5">
        <f>135475.5+25225.6</f>
        <v>160701.1</v>
      </c>
      <c r="G23" s="5">
        <v>102150</v>
      </c>
      <c r="H23" s="5">
        <v>14500</v>
      </c>
      <c r="I23" s="5">
        <v>108383.51</v>
      </c>
      <c r="J23" s="5">
        <v>15251.93</v>
      </c>
      <c r="K23" s="7">
        <f t="shared" si="3"/>
        <v>33079.83</v>
      </c>
      <c r="L23" s="7">
        <f t="shared" si="4"/>
        <v>6233.509999999995</v>
      </c>
      <c r="M23" s="7">
        <f t="shared" si="5"/>
        <v>-52317.59000000001</v>
      </c>
      <c r="N23" s="7">
        <f t="shared" si="6"/>
        <v>751.9300000000003</v>
      </c>
      <c r="O23" s="39">
        <f t="shared" si="0"/>
        <v>1.4392857029032313</v>
      </c>
      <c r="P23" s="39">
        <f t="shared" si="1"/>
        <v>1.0610231032794908</v>
      </c>
      <c r="Q23" s="39">
        <f t="shared" si="2"/>
        <v>0.6744416186323553</v>
      </c>
    </row>
    <row r="24" spans="1:17" ht="18" customHeight="1">
      <c r="A24" s="140"/>
      <c r="B24" s="137"/>
      <c r="C24" s="84" t="s">
        <v>42</v>
      </c>
      <c r="D24" s="6" t="s">
        <v>43</v>
      </c>
      <c r="E24" s="35">
        <v>3971.23</v>
      </c>
      <c r="F24" s="5">
        <f>39519.1+10736.23</f>
        <v>50255.33</v>
      </c>
      <c r="G24" s="5">
        <f>39519.14+10736.23</f>
        <v>50255.369999999995</v>
      </c>
      <c r="H24" s="5">
        <v>10736.23</v>
      </c>
      <c r="I24" s="5">
        <v>50255.37</v>
      </c>
      <c r="J24" s="5">
        <v>10736.23</v>
      </c>
      <c r="K24" s="5">
        <f t="shared" si="3"/>
        <v>46284.14</v>
      </c>
      <c r="L24" s="5">
        <f t="shared" si="4"/>
        <v>0</v>
      </c>
      <c r="M24" s="5">
        <f t="shared" si="5"/>
        <v>0.040000000000873115</v>
      </c>
      <c r="N24" s="5">
        <f t="shared" si="6"/>
        <v>0</v>
      </c>
      <c r="O24" s="39">
        <f t="shared" si="0"/>
        <v>12.654862599245071</v>
      </c>
      <c r="P24" s="39">
        <f t="shared" si="1"/>
        <v>1.0000000000000002</v>
      </c>
      <c r="Q24" s="39">
        <f t="shared" si="2"/>
        <v>1.000000795935476</v>
      </c>
    </row>
    <row r="25" spans="1:17" ht="18" customHeight="1">
      <c r="A25" s="140"/>
      <c r="B25" s="137"/>
      <c r="C25" s="84" t="s">
        <v>73</v>
      </c>
      <c r="D25" s="6" t="s">
        <v>74</v>
      </c>
      <c r="E25" s="35">
        <v>58469.600000000006</v>
      </c>
      <c r="F25" s="5">
        <f>110819.4+14383.9-8662.9</f>
        <v>116540.4</v>
      </c>
      <c r="G25" s="5">
        <v>67750</v>
      </c>
      <c r="H25" s="5">
        <v>10600</v>
      </c>
      <c r="I25" s="5">
        <v>74565.57</v>
      </c>
      <c r="J25" s="5">
        <v>9273.27</v>
      </c>
      <c r="K25" s="7">
        <f t="shared" si="3"/>
        <v>16095.970000000001</v>
      </c>
      <c r="L25" s="7">
        <f t="shared" si="4"/>
        <v>6815.570000000007</v>
      </c>
      <c r="M25" s="7">
        <f t="shared" si="5"/>
        <v>-41974.82999999999</v>
      </c>
      <c r="N25" s="7">
        <f t="shared" si="6"/>
        <v>-1326.7299999999996</v>
      </c>
      <c r="O25" s="39">
        <f t="shared" si="0"/>
        <v>1.2752878418870661</v>
      </c>
      <c r="P25" s="39">
        <f t="shared" si="1"/>
        <v>1.100598819188192</v>
      </c>
      <c r="Q25" s="39">
        <f t="shared" si="2"/>
        <v>0.6398259316082664</v>
      </c>
    </row>
    <row r="26" spans="1:17" ht="18" customHeight="1">
      <c r="A26" s="145"/>
      <c r="B26" s="147"/>
      <c r="C26" s="86"/>
      <c r="D26" s="73" t="s">
        <v>11</v>
      </c>
      <c r="E26" s="28">
        <f aca="true" t="shared" si="8" ref="E26:J26">SUM(E23:E25)</f>
        <v>137744.51</v>
      </c>
      <c r="F26" s="28">
        <f t="shared" si="8"/>
        <v>327496.82999999996</v>
      </c>
      <c r="G26" s="28">
        <f t="shared" si="8"/>
        <v>220155.37</v>
      </c>
      <c r="H26" s="28">
        <f t="shared" si="8"/>
        <v>35836.229999999996</v>
      </c>
      <c r="I26" s="28">
        <f t="shared" si="8"/>
        <v>233204.45</v>
      </c>
      <c r="J26" s="28">
        <f t="shared" si="8"/>
        <v>35261.43</v>
      </c>
      <c r="K26" s="28">
        <f t="shared" si="3"/>
        <v>95459.94</v>
      </c>
      <c r="L26" s="28">
        <f t="shared" si="4"/>
        <v>13049.080000000016</v>
      </c>
      <c r="M26" s="28">
        <f t="shared" si="5"/>
        <v>-94292.37999999995</v>
      </c>
      <c r="N26" s="28">
        <f t="shared" si="6"/>
        <v>-574.7999999999956</v>
      </c>
      <c r="O26" s="75">
        <f t="shared" si="0"/>
        <v>1.693021740031599</v>
      </c>
      <c r="P26" s="75">
        <f t="shared" si="1"/>
        <v>1.0592721403979382</v>
      </c>
      <c r="Q26" s="75">
        <f t="shared" si="2"/>
        <v>0.7120815490030852</v>
      </c>
    </row>
    <row r="27" spans="1:17" ht="18" customHeight="1">
      <c r="A27" s="105">
        <v>951</v>
      </c>
      <c r="B27" s="105" t="s">
        <v>13</v>
      </c>
      <c r="C27" s="87" t="s">
        <v>118</v>
      </c>
      <c r="D27" s="8" t="s">
        <v>45</v>
      </c>
      <c r="E27" s="36">
        <v>54337.69</v>
      </c>
      <c r="F27" s="5">
        <v>91712.1</v>
      </c>
      <c r="G27" s="5">
        <v>53623</v>
      </c>
      <c r="H27" s="5">
        <v>5900</v>
      </c>
      <c r="I27" s="5">
        <v>71530.08</v>
      </c>
      <c r="J27" s="5">
        <v>6293.07</v>
      </c>
      <c r="K27" s="5">
        <f t="shared" si="3"/>
        <v>17192.39</v>
      </c>
      <c r="L27" s="5">
        <f t="shared" si="4"/>
        <v>17907.08</v>
      </c>
      <c r="M27" s="5">
        <f t="shared" si="5"/>
        <v>-20182.020000000004</v>
      </c>
      <c r="N27" s="5">
        <f t="shared" si="6"/>
        <v>393.0699999999997</v>
      </c>
      <c r="O27" s="39">
        <f t="shared" si="0"/>
        <v>1.3163989856764247</v>
      </c>
      <c r="P27" s="39">
        <f t="shared" si="1"/>
        <v>1.3339440165600582</v>
      </c>
      <c r="Q27" s="39">
        <f t="shared" si="2"/>
        <v>0.7799415780469534</v>
      </c>
    </row>
    <row r="28" spans="1:17" ht="18" customHeight="1">
      <c r="A28" s="105"/>
      <c r="B28" s="105"/>
      <c r="C28" s="84" t="s">
        <v>117</v>
      </c>
      <c r="D28" s="6" t="s">
        <v>47</v>
      </c>
      <c r="E28" s="36">
        <v>8182.67</v>
      </c>
      <c r="F28" s="5">
        <v>14224.9</v>
      </c>
      <c r="G28" s="5">
        <v>6381.900000000001</v>
      </c>
      <c r="H28" s="5">
        <v>1915.3</v>
      </c>
      <c r="I28" s="5">
        <v>7086.8099999999995</v>
      </c>
      <c r="J28" s="5">
        <v>798.95</v>
      </c>
      <c r="K28" s="5">
        <f t="shared" si="3"/>
        <v>-1095.8600000000006</v>
      </c>
      <c r="L28" s="5">
        <f t="shared" si="4"/>
        <v>704.909999999999</v>
      </c>
      <c r="M28" s="5">
        <f t="shared" si="5"/>
        <v>-7138.09</v>
      </c>
      <c r="N28" s="5">
        <f t="shared" si="6"/>
        <v>-1116.35</v>
      </c>
      <c r="O28" s="39">
        <f t="shared" si="0"/>
        <v>0.8660754985842029</v>
      </c>
      <c r="P28" s="39">
        <f t="shared" si="1"/>
        <v>1.1104545668217927</v>
      </c>
      <c r="Q28" s="39">
        <f t="shared" si="2"/>
        <v>0.4981975268718936</v>
      </c>
    </row>
    <row r="29" spans="1:17" ht="15.75">
      <c r="A29" s="105"/>
      <c r="B29" s="105"/>
      <c r="C29" s="86"/>
      <c r="D29" s="76" t="s">
        <v>11</v>
      </c>
      <c r="E29" s="28">
        <f>E27+E28</f>
        <v>62520.36</v>
      </c>
      <c r="F29" s="28">
        <f>F27+F28</f>
        <v>105937</v>
      </c>
      <c r="G29" s="28">
        <f>G27+G28</f>
        <v>60004.9</v>
      </c>
      <c r="H29" s="28">
        <f>H27+H28</f>
        <v>7815.3</v>
      </c>
      <c r="I29" s="28">
        <f>I27+I28</f>
        <v>78616.89</v>
      </c>
      <c r="J29" s="28">
        <f>J27+J28</f>
        <v>7092.0199999999995</v>
      </c>
      <c r="K29" s="28">
        <f t="shared" si="3"/>
        <v>16096.529999999999</v>
      </c>
      <c r="L29" s="28">
        <f t="shared" si="4"/>
        <v>18611.989999999998</v>
      </c>
      <c r="M29" s="28">
        <f t="shared" si="5"/>
        <v>-27320.11</v>
      </c>
      <c r="N29" s="28">
        <f t="shared" si="6"/>
        <v>-723.2800000000007</v>
      </c>
      <c r="O29" s="75">
        <f t="shared" si="0"/>
        <v>1.2574606096318064</v>
      </c>
      <c r="P29" s="75">
        <f t="shared" si="1"/>
        <v>1.310174502415636</v>
      </c>
      <c r="Q29" s="75">
        <f t="shared" si="2"/>
        <v>0.7421098388664962</v>
      </c>
    </row>
    <row r="30" spans="1:17" ht="18.75" customHeight="1">
      <c r="A30" s="129" t="s">
        <v>48</v>
      </c>
      <c r="B30" s="105" t="s">
        <v>49</v>
      </c>
      <c r="C30" s="84" t="s">
        <v>50</v>
      </c>
      <c r="D30" s="6" t="s">
        <v>51</v>
      </c>
      <c r="E30" s="35">
        <v>1336</v>
      </c>
      <c r="F30" s="3">
        <v>496</v>
      </c>
      <c r="G30" s="3">
        <v>496</v>
      </c>
      <c r="H30" s="3">
        <v>496</v>
      </c>
      <c r="I30" s="62">
        <v>3566.51</v>
      </c>
      <c r="J30" s="62">
        <v>0</v>
      </c>
      <c r="K30" s="3">
        <f t="shared" si="3"/>
        <v>2230.51</v>
      </c>
      <c r="L30" s="3">
        <f t="shared" si="4"/>
        <v>3070.51</v>
      </c>
      <c r="M30" s="3">
        <f t="shared" si="5"/>
        <v>3070.51</v>
      </c>
      <c r="N30" s="3">
        <f t="shared" si="6"/>
        <v>-496</v>
      </c>
      <c r="O30" s="39">
        <f t="shared" si="0"/>
        <v>2.669543413173653</v>
      </c>
      <c r="P30" s="39">
        <f t="shared" si="1"/>
        <v>7.1905443548387105</v>
      </c>
      <c r="Q30" s="39">
        <f t="shared" si="2"/>
        <v>7.1905443548387105</v>
      </c>
    </row>
    <row r="31" spans="1:17" ht="17.25" customHeight="1">
      <c r="A31" s="129"/>
      <c r="B31" s="105"/>
      <c r="C31" s="84" t="s">
        <v>52</v>
      </c>
      <c r="D31" s="9" t="s">
        <v>53</v>
      </c>
      <c r="E31" s="35">
        <v>46830.71</v>
      </c>
      <c r="F31" s="3">
        <v>100081.7</v>
      </c>
      <c r="G31" s="3">
        <v>62500</v>
      </c>
      <c r="H31" s="3">
        <v>8000</v>
      </c>
      <c r="I31" s="5">
        <v>55959.85</v>
      </c>
      <c r="J31" s="5">
        <v>6262.299999999999</v>
      </c>
      <c r="K31" s="3">
        <f t="shared" si="3"/>
        <v>9129.14</v>
      </c>
      <c r="L31" s="3">
        <f t="shared" si="4"/>
        <v>-6540.1500000000015</v>
      </c>
      <c r="M31" s="3">
        <f t="shared" si="5"/>
        <v>-44121.85</v>
      </c>
      <c r="N31" s="3">
        <f t="shared" si="6"/>
        <v>-1737.7000000000007</v>
      </c>
      <c r="O31" s="39">
        <f t="shared" si="0"/>
        <v>1.1949391755965262</v>
      </c>
      <c r="P31" s="39">
        <f t="shared" si="1"/>
        <v>0.8953576</v>
      </c>
      <c r="Q31" s="39">
        <f t="shared" si="2"/>
        <v>0.5591416812464217</v>
      </c>
    </row>
    <row r="32" spans="1:17" ht="15.75">
      <c r="A32" s="129"/>
      <c r="B32" s="105"/>
      <c r="C32" s="87" t="s">
        <v>44</v>
      </c>
      <c r="D32" s="8" t="s">
        <v>54</v>
      </c>
      <c r="E32" s="35">
        <v>3208.64</v>
      </c>
      <c r="F32" s="3">
        <v>557</v>
      </c>
      <c r="G32" s="3">
        <v>371.3</v>
      </c>
      <c r="H32" s="3">
        <v>46.4</v>
      </c>
      <c r="I32" s="5">
        <v>6493.85</v>
      </c>
      <c r="J32" s="5">
        <v>1534.15</v>
      </c>
      <c r="K32" s="3">
        <f t="shared" si="3"/>
        <v>3285.2100000000005</v>
      </c>
      <c r="L32" s="3">
        <f t="shared" si="4"/>
        <v>6122.55</v>
      </c>
      <c r="M32" s="3">
        <f t="shared" si="5"/>
        <v>5936.85</v>
      </c>
      <c r="N32" s="3">
        <f t="shared" si="6"/>
        <v>1487.75</v>
      </c>
      <c r="O32" s="39">
        <f t="shared" si="0"/>
        <v>2.0238636930288223</v>
      </c>
      <c r="P32" s="39">
        <f t="shared" si="1"/>
        <v>17.489496364126044</v>
      </c>
      <c r="Q32" s="39">
        <f t="shared" si="2"/>
        <v>11.658617594254938</v>
      </c>
    </row>
    <row r="33" spans="1:17" ht="15.75">
      <c r="A33" s="129"/>
      <c r="B33" s="105"/>
      <c r="C33" s="88" t="s">
        <v>55</v>
      </c>
      <c r="D33" s="8" t="s">
        <v>56</v>
      </c>
      <c r="E33" s="5">
        <f>E34+E36+E35</f>
        <v>39879.17</v>
      </c>
      <c r="F33" s="5">
        <f>F34+F36+F35</f>
        <v>200264</v>
      </c>
      <c r="G33" s="5">
        <f>G34+G36+G35</f>
        <v>166491.7</v>
      </c>
      <c r="H33" s="5">
        <f>H34+H36+H35</f>
        <v>5969.800000000001</v>
      </c>
      <c r="I33" s="5">
        <v>207720.96</v>
      </c>
      <c r="J33" s="5">
        <v>38888.579999999994</v>
      </c>
      <c r="K33" s="10">
        <f t="shared" si="3"/>
        <v>167841.78999999998</v>
      </c>
      <c r="L33" s="10">
        <f t="shared" si="4"/>
        <v>41229.25999999998</v>
      </c>
      <c r="M33" s="10">
        <f t="shared" si="5"/>
        <v>7456.959999999992</v>
      </c>
      <c r="N33" s="10">
        <f t="shared" si="6"/>
        <v>32918.77999999999</v>
      </c>
      <c r="O33" s="39">
        <f t="shared" si="0"/>
        <v>5.208758356806323</v>
      </c>
      <c r="P33" s="39">
        <f t="shared" si="1"/>
        <v>1.2476355277770603</v>
      </c>
      <c r="Q33" s="39">
        <f t="shared" si="2"/>
        <v>1.0372356489433947</v>
      </c>
    </row>
    <row r="34" spans="1:17" ht="15.75">
      <c r="A34" s="129"/>
      <c r="B34" s="105"/>
      <c r="C34" s="89" t="s">
        <v>120</v>
      </c>
      <c r="D34" s="11" t="s">
        <v>57</v>
      </c>
      <c r="E34" s="37">
        <v>18006.71</v>
      </c>
      <c r="F34" s="12">
        <f>48594.6+85630.3+29092.9</f>
        <v>163317.8</v>
      </c>
      <c r="G34" s="12">
        <v>144165.6</v>
      </c>
      <c r="H34" s="12">
        <v>3914.8</v>
      </c>
      <c r="I34" s="12">
        <v>180746.27</v>
      </c>
      <c r="J34" s="12">
        <v>37164.67</v>
      </c>
      <c r="K34" s="12">
        <f t="shared" si="3"/>
        <v>162739.56</v>
      </c>
      <c r="L34" s="12">
        <f t="shared" si="4"/>
        <v>36580.669999999984</v>
      </c>
      <c r="M34" s="12">
        <f t="shared" si="5"/>
        <v>17428.47</v>
      </c>
      <c r="N34" s="12">
        <f t="shared" si="6"/>
        <v>33249.869999999995</v>
      </c>
      <c r="O34" s="39">
        <f t="shared" si="0"/>
        <v>10.037717606381177</v>
      </c>
      <c r="P34" s="39">
        <f t="shared" si="1"/>
        <v>1.2537406288323982</v>
      </c>
      <c r="Q34" s="39">
        <f t="shared" si="2"/>
        <v>1.1067150671880224</v>
      </c>
    </row>
    <row r="35" spans="1:17" ht="15.75">
      <c r="A35" s="129"/>
      <c r="B35" s="105"/>
      <c r="C35" s="89" t="s">
        <v>121</v>
      </c>
      <c r="D35" s="11" t="s">
        <v>58</v>
      </c>
      <c r="E35" s="37">
        <v>1365.67</v>
      </c>
      <c r="F35" s="63">
        <v>1867.8</v>
      </c>
      <c r="G35" s="63">
        <v>236.4</v>
      </c>
      <c r="H35" s="63">
        <v>76.1</v>
      </c>
      <c r="I35" s="63">
        <v>1024.17</v>
      </c>
      <c r="J35" s="63">
        <v>56.67</v>
      </c>
      <c r="K35" s="12">
        <f t="shared" si="3"/>
        <v>-341.5</v>
      </c>
      <c r="L35" s="12">
        <f t="shared" si="4"/>
        <v>787.7700000000001</v>
      </c>
      <c r="M35" s="12">
        <f t="shared" si="5"/>
        <v>-843.6299999999999</v>
      </c>
      <c r="N35" s="12">
        <f t="shared" si="6"/>
        <v>-19.429999999999993</v>
      </c>
      <c r="O35" s="39">
        <f t="shared" si="0"/>
        <v>0.7499395900913105</v>
      </c>
      <c r="P35" s="39">
        <f t="shared" si="1"/>
        <v>4.332360406091371</v>
      </c>
      <c r="Q35" s="39">
        <f t="shared" si="2"/>
        <v>0.5483295856087376</v>
      </c>
    </row>
    <row r="36" spans="1:17" ht="15.75">
      <c r="A36" s="129"/>
      <c r="B36" s="105"/>
      <c r="C36" s="89" t="s">
        <v>119</v>
      </c>
      <c r="D36" s="11" t="s">
        <v>59</v>
      </c>
      <c r="E36" s="28">
        <v>20506.79</v>
      </c>
      <c r="F36" s="63">
        <f>35078.4+85630.3-85630.3</f>
        <v>35078.40000000001</v>
      </c>
      <c r="G36" s="63">
        <v>22089.7</v>
      </c>
      <c r="H36" s="63">
        <v>1978.9</v>
      </c>
      <c r="I36" s="63">
        <v>25950.52</v>
      </c>
      <c r="J36" s="63">
        <v>1667.24</v>
      </c>
      <c r="K36" s="12">
        <f t="shared" si="3"/>
        <v>5443.73</v>
      </c>
      <c r="L36" s="12">
        <f t="shared" si="4"/>
        <v>3860.8199999999997</v>
      </c>
      <c r="M36" s="12">
        <f t="shared" si="5"/>
        <v>-9127.880000000008</v>
      </c>
      <c r="N36" s="12">
        <f t="shared" si="6"/>
        <v>-311.6600000000001</v>
      </c>
      <c r="O36" s="39">
        <f t="shared" si="0"/>
        <v>1.265459879386291</v>
      </c>
      <c r="P36" s="39">
        <f t="shared" si="1"/>
        <v>1.1747791957337583</v>
      </c>
      <c r="Q36" s="39">
        <f t="shared" si="2"/>
        <v>0.7397863072432036</v>
      </c>
    </row>
    <row r="37" spans="1:17" ht="15.75">
      <c r="A37" s="129"/>
      <c r="B37" s="129"/>
      <c r="C37" s="86"/>
      <c r="D37" s="76" t="s">
        <v>11</v>
      </c>
      <c r="E37" s="28">
        <f>SUM(E30:E33)</f>
        <v>91254.51999999999</v>
      </c>
      <c r="F37" s="28">
        <f>SUM(F30:F33)</f>
        <v>301398.7</v>
      </c>
      <c r="G37" s="28">
        <f>SUM(G30:G33)</f>
        <v>229859</v>
      </c>
      <c r="H37" s="28">
        <f>SUM(H30:H33)</f>
        <v>14512.2</v>
      </c>
      <c r="I37" s="28">
        <f>SUM(I30:I33)</f>
        <v>273741.17</v>
      </c>
      <c r="J37" s="28">
        <f>SUM(J30:J33)</f>
        <v>46685.02999999999</v>
      </c>
      <c r="K37" s="28">
        <f t="shared" si="3"/>
        <v>182486.65</v>
      </c>
      <c r="L37" s="28">
        <f t="shared" si="4"/>
        <v>43882.169999999984</v>
      </c>
      <c r="M37" s="28">
        <f t="shared" si="5"/>
        <v>-27657.530000000028</v>
      </c>
      <c r="N37" s="28">
        <f t="shared" si="6"/>
        <v>32172.82999999999</v>
      </c>
      <c r="O37" s="75">
        <f aca="true" t="shared" si="9" ref="O37:O67">_xlfn.IFERROR(I37/E37,"")</f>
        <v>2.9997546422905956</v>
      </c>
      <c r="P37" s="75">
        <f aca="true" t="shared" si="10" ref="P37:P67">_xlfn.IFERROR(I37/G37,"")</f>
        <v>1.1909090790441095</v>
      </c>
      <c r="Q37" s="75">
        <f aca="true" t="shared" si="11" ref="Q37:Q67">_xlfn.IFERROR(I37/F37,"")</f>
        <v>0.9082360673752076</v>
      </c>
    </row>
    <row r="38" spans="1:17" ht="31.5">
      <c r="A38" s="129" t="s">
        <v>103</v>
      </c>
      <c r="B38" s="105" t="s">
        <v>21</v>
      </c>
      <c r="C38" s="87" t="s">
        <v>130</v>
      </c>
      <c r="D38" s="8" t="s">
        <v>61</v>
      </c>
      <c r="E38" s="36">
        <v>193183.99</v>
      </c>
      <c r="F38" s="5">
        <v>326627.4</v>
      </c>
      <c r="G38" s="5">
        <v>192500.5</v>
      </c>
      <c r="H38" s="5">
        <v>13100</v>
      </c>
      <c r="I38" s="5">
        <v>189391.5</v>
      </c>
      <c r="J38" s="5">
        <v>24790.64</v>
      </c>
      <c r="K38" s="10">
        <f t="shared" si="3"/>
        <v>-3792.4899999999907</v>
      </c>
      <c r="L38" s="10">
        <f t="shared" si="4"/>
        <v>-3109</v>
      </c>
      <c r="M38" s="10">
        <f t="shared" si="5"/>
        <v>-137235.90000000002</v>
      </c>
      <c r="N38" s="10">
        <f t="shared" si="6"/>
        <v>11690.64</v>
      </c>
      <c r="O38" s="39">
        <f t="shared" si="9"/>
        <v>0.9803685077629881</v>
      </c>
      <c r="P38" s="39">
        <f t="shared" si="10"/>
        <v>0.9838493925989803</v>
      </c>
      <c r="Q38" s="39">
        <f t="shared" si="11"/>
        <v>0.5798395970454407</v>
      </c>
    </row>
    <row r="39" spans="1:17" ht="18" customHeight="1">
      <c r="A39" s="129"/>
      <c r="B39" s="105"/>
      <c r="C39" s="90" t="s">
        <v>160</v>
      </c>
      <c r="D39" s="8" t="s">
        <v>62</v>
      </c>
      <c r="E39" s="36">
        <v>24494.18</v>
      </c>
      <c r="F39" s="5">
        <f>245061.4+9204.6</f>
        <v>254266</v>
      </c>
      <c r="G39" s="5">
        <v>131704.6</v>
      </c>
      <c r="H39" s="5">
        <v>17600</v>
      </c>
      <c r="I39" s="5">
        <v>182441.94</v>
      </c>
      <c r="J39" s="5">
        <v>15368.94</v>
      </c>
      <c r="K39" s="10">
        <f t="shared" si="3"/>
        <v>157947.76</v>
      </c>
      <c r="L39" s="10">
        <f t="shared" si="4"/>
        <v>50737.34</v>
      </c>
      <c r="M39" s="10">
        <f t="shared" si="5"/>
        <v>-71824.06</v>
      </c>
      <c r="N39" s="10">
        <f t="shared" si="6"/>
        <v>-2231.0599999999995</v>
      </c>
      <c r="O39" s="39">
        <f t="shared" si="9"/>
        <v>7.4483791659896355</v>
      </c>
      <c r="P39" s="39">
        <f t="shared" si="10"/>
        <v>1.3852358991257707</v>
      </c>
      <c r="Q39" s="39">
        <f t="shared" si="11"/>
        <v>0.7175239316306545</v>
      </c>
    </row>
    <row r="40" spans="1:17" ht="31.5">
      <c r="A40" s="129"/>
      <c r="B40" s="105"/>
      <c r="C40" s="84" t="s">
        <v>133</v>
      </c>
      <c r="D40" s="6" t="s">
        <v>63</v>
      </c>
      <c r="E40" s="36">
        <v>33316.74</v>
      </c>
      <c r="F40" s="5">
        <f>48566.2-5534.7</f>
        <v>43031.5</v>
      </c>
      <c r="G40" s="5">
        <v>25526</v>
      </c>
      <c r="H40" s="5">
        <v>1500</v>
      </c>
      <c r="I40" s="5">
        <v>24807.09</v>
      </c>
      <c r="J40" s="5">
        <v>515.02</v>
      </c>
      <c r="K40" s="5">
        <f t="shared" si="3"/>
        <v>-8509.649999999998</v>
      </c>
      <c r="L40" s="5">
        <f t="shared" si="4"/>
        <v>-718.9099999999999</v>
      </c>
      <c r="M40" s="5">
        <f t="shared" si="5"/>
        <v>-18224.41</v>
      </c>
      <c r="N40" s="5">
        <f t="shared" si="6"/>
        <v>-984.98</v>
      </c>
      <c r="O40" s="39">
        <f t="shared" si="9"/>
        <v>0.7445833535934189</v>
      </c>
      <c r="P40" s="39">
        <f t="shared" si="10"/>
        <v>0.9718361670453655</v>
      </c>
      <c r="Q40" s="39">
        <f t="shared" si="11"/>
        <v>0.5764867596992901</v>
      </c>
    </row>
    <row r="41" spans="1:17" ht="31.5">
      <c r="A41" s="130"/>
      <c r="B41" s="106"/>
      <c r="C41" s="91" t="s">
        <v>108</v>
      </c>
      <c r="D41" s="13" t="s">
        <v>109</v>
      </c>
      <c r="E41" s="36">
        <v>1996.87</v>
      </c>
      <c r="F41" s="5">
        <v>2948.3</v>
      </c>
      <c r="G41" s="5">
        <v>1689</v>
      </c>
      <c r="H41" s="5">
        <v>0</v>
      </c>
      <c r="I41" s="5">
        <v>2044.72</v>
      </c>
      <c r="J41" s="5">
        <v>93.98</v>
      </c>
      <c r="K41" s="5">
        <f t="shared" si="3"/>
        <v>47.850000000000136</v>
      </c>
      <c r="L41" s="5">
        <f t="shared" si="4"/>
        <v>355.72</v>
      </c>
      <c r="M41" s="5">
        <f t="shared" si="5"/>
        <v>-903.5800000000002</v>
      </c>
      <c r="N41" s="5">
        <f t="shared" si="6"/>
        <v>93.98</v>
      </c>
      <c r="O41" s="39">
        <f t="shared" si="9"/>
        <v>1.0239625013145575</v>
      </c>
      <c r="P41" s="39">
        <f t="shared" si="10"/>
        <v>1.2106098283007698</v>
      </c>
      <c r="Q41" s="39">
        <f t="shared" si="11"/>
        <v>0.6935250822507886</v>
      </c>
    </row>
    <row r="42" spans="1:17" ht="18" customHeight="1">
      <c r="A42" s="131"/>
      <c r="B42" s="133"/>
      <c r="C42" s="92" t="s">
        <v>153</v>
      </c>
      <c r="D42" s="14" t="s">
        <v>122</v>
      </c>
      <c r="E42" s="36">
        <v>64.83</v>
      </c>
      <c r="F42" s="5">
        <v>0</v>
      </c>
      <c r="G42" s="5">
        <v>0</v>
      </c>
      <c r="H42" s="5">
        <v>0</v>
      </c>
      <c r="I42" s="5">
        <v>215.35</v>
      </c>
      <c r="J42" s="5">
        <v>2.9</v>
      </c>
      <c r="K42" s="5">
        <f t="shared" si="3"/>
        <v>150.51999999999998</v>
      </c>
      <c r="L42" s="5">
        <f t="shared" si="4"/>
        <v>215.35</v>
      </c>
      <c r="M42" s="5">
        <f t="shared" si="5"/>
        <v>215.35</v>
      </c>
      <c r="N42" s="5">
        <f t="shared" si="6"/>
        <v>2.9</v>
      </c>
      <c r="O42" s="39">
        <f t="shared" si="9"/>
        <v>3.321764615147308</v>
      </c>
      <c r="P42" s="39">
        <f t="shared" si="10"/>
      </c>
      <c r="Q42" s="39">
        <f t="shared" si="11"/>
      </c>
    </row>
    <row r="43" spans="1:17" ht="31.5">
      <c r="A43" s="129"/>
      <c r="B43" s="105"/>
      <c r="C43" s="87" t="s">
        <v>64</v>
      </c>
      <c r="D43" s="8" t="s">
        <v>65</v>
      </c>
      <c r="E43" s="36">
        <v>421076.07</v>
      </c>
      <c r="F43" s="3">
        <v>104142</v>
      </c>
      <c r="G43" s="3">
        <v>63340</v>
      </c>
      <c r="H43" s="3">
        <v>9600</v>
      </c>
      <c r="I43" s="5">
        <v>159757.41</v>
      </c>
      <c r="J43" s="5">
        <v>17363.69</v>
      </c>
      <c r="K43" s="3">
        <f t="shared" si="3"/>
        <v>-261318.66</v>
      </c>
      <c r="L43" s="3">
        <f t="shared" si="4"/>
        <v>96417.41</v>
      </c>
      <c r="M43" s="3">
        <f t="shared" si="5"/>
        <v>55615.41</v>
      </c>
      <c r="N43" s="3">
        <f t="shared" si="6"/>
        <v>7763.689999999999</v>
      </c>
      <c r="O43" s="39">
        <f t="shared" si="9"/>
        <v>0.37940272882284665</v>
      </c>
      <c r="P43" s="39">
        <f t="shared" si="10"/>
        <v>2.5222199242185033</v>
      </c>
      <c r="Q43" s="39">
        <f t="shared" si="11"/>
        <v>1.5340343953448177</v>
      </c>
    </row>
    <row r="44" spans="1:17" ht="31.5">
      <c r="A44" s="129"/>
      <c r="B44" s="105"/>
      <c r="C44" s="87" t="s">
        <v>66</v>
      </c>
      <c r="D44" s="8" t="s">
        <v>67</v>
      </c>
      <c r="E44" s="36">
        <v>64758.19</v>
      </c>
      <c r="F44" s="3">
        <v>45272.2</v>
      </c>
      <c r="G44" s="3">
        <v>24050</v>
      </c>
      <c r="H44" s="3">
        <v>5750</v>
      </c>
      <c r="I44" s="5">
        <v>52849.83</v>
      </c>
      <c r="J44" s="5">
        <v>5716.08</v>
      </c>
      <c r="K44" s="35">
        <v>5230.72</v>
      </c>
      <c r="L44" s="3">
        <f t="shared" si="4"/>
        <v>28799.83</v>
      </c>
      <c r="M44" s="3">
        <f t="shared" si="5"/>
        <v>7577.630000000005</v>
      </c>
      <c r="N44" s="3">
        <f t="shared" si="6"/>
        <v>-33.92000000000007</v>
      </c>
      <c r="O44" s="39">
        <f t="shared" si="9"/>
        <v>0.8161103638010884</v>
      </c>
      <c r="P44" s="39">
        <f t="shared" si="10"/>
        <v>2.197498128898129</v>
      </c>
      <c r="Q44" s="39">
        <f t="shared" si="11"/>
        <v>1.1673793188756014</v>
      </c>
    </row>
    <row r="45" spans="1:17" ht="18" customHeight="1">
      <c r="A45" s="132"/>
      <c r="B45" s="134"/>
      <c r="C45" s="84" t="s">
        <v>73</v>
      </c>
      <c r="D45" s="6" t="s">
        <v>74</v>
      </c>
      <c r="E45" s="53">
        <v>9166.73</v>
      </c>
      <c r="F45" s="54">
        <v>14007.9</v>
      </c>
      <c r="G45" s="54">
        <v>5563.8</v>
      </c>
      <c r="H45" s="54">
        <v>0</v>
      </c>
      <c r="I45" s="5">
        <v>7771.67</v>
      </c>
      <c r="J45" s="5">
        <v>1135.03</v>
      </c>
      <c r="K45" s="35">
        <v>5230.72</v>
      </c>
      <c r="L45" s="54">
        <f t="shared" si="4"/>
        <v>2207.87</v>
      </c>
      <c r="M45" s="54">
        <f t="shared" si="5"/>
        <v>-6236.23</v>
      </c>
      <c r="N45" s="54">
        <f t="shared" si="6"/>
        <v>1135.03</v>
      </c>
      <c r="O45" s="39">
        <f t="shared" si="9"/>
        <v>0.8478126878396114</v>
      </c>
      <c r="P45" s="39">
        <f t="shared" si="10"/>
        <v>1.3968277076818</v>
      </c>
      <c r="Q45" s="39">
        <f t="shared" si="11"/>
        <v>0.5548062164921224</v>
      </c>
    </row>
    <row r="46" spans="1:17" ht="18" customHeight="1">
      <c r="A46" s="132"/>
      <c r="B46" s="134"/>
      <c r="C46" s="84" t="s">
        <v>46</v>
      </c>
      <c r="D46" s="6" t="s">
        <v>152</v>
      </c>
      <c r="E46" s="53">
        <v>625.31</v>
      </c>
      <c r="F46" s="54">
        <v>0</v>
      </c>
      <c r="G46" s="54">
        <v>0</v>
      </c>
      <c r="H46" s="54">
        <v>0</v>
      </c>
      <c r="I46" s="5">
        <v>25728.4</v>
      </c>
      <c r="J46" s="5">
        <v>3317.43</v>
      </c>
      <c r="K46" s="35">
        <v>5230.72</v>
      </c>
      <c r="L46" s="54">
        <f t="shared" si="4"/>
        <v>25728.4</v>
      </c>
      <c r="M46" s="54">
        <f t="shared" si="5"/>
        <v>25728.4</v>
      </c>
      <c r="N46" s="54">
        <f t="shared" si="6"/>
        <v>3317.43</v>
      </c>
      <c r="O46" s="39">
        <f t="shared" si="9"/>
        <v>41.14503206409621</v>
      </c>
      <c r="P46" s="39">
        <f t="shared" si="10"/>
      </c>
      <c r="Q46" s="39">
        <f t="shared" si="11"/>
      </c>
    </row>
    <row r="47" spans="1:17" ht="18" customHeight="1">
      <c r="A47" s="129"/>
      <c r="B47" s="129"/>
      <c r="C47" s="93"/>
      <c r="D47" s="76" t="s">
        <v>11</v>
      </c>
      <c r="E47" s="28">
        <f>SUM(E38:E46)</f>
        <v>748682.9099999999</v>
      </c>
      <c r="F47" s="28">
        <f>SUM(F38:F46)</f>
        <v>790295.3</v>
      </c>
      <c r="G47" s="28">
        <f>SUM(G38:G46)</f>
        <v>444373.89999999997</v>
      </c>
      <c r="H47" s="28">
        <f>SUM(H38:H46)</f>
        <v>47550</v>
      </c>
      <c r="I47" s="28">
        <f>SUM(I38:I46)</f>
        <v>645007.91</v>
      </c>
      <c r="J47" s="28">
        <f>SUM(J38:J46)</f>
        <v>68303.70999999999</v>
      </c>
      <c r="K47" s="28">
        <f t="shared" si="3"/>
        <v>-103674.99999999988</v>
      </c>
      <c r="L47" s="28">
        <f t="shared" si="4"/>
        <v>200634.01000000007</v>
      </c>
      <c r="M47" s="28">
        <f t="shared" si="5"/>
        <v>-145287.39</v>
      </c>
      <c r="N47" s="28">
        <f t="shared" si="6"/>
        <v>20753.709999999992</v>
      </c>
      <c r="O47" s="39">
        <f t="shared" si="9"/>
        <v>0.8615234852896537</v>
      </c>
      <c r="P47" s="39">
        <f t="shared" si="10"/>
        <v>1.4514981865496603</v>
      </c>
      <c r="Q47" s="39">
        <f t="shared" si="11"/>
        <v>0.8161606300834637</v>
      </c>
    </row>
    <row r="48" spans="1:17" ht="18" customHeight="1">
      <c r="A48" s="129" t="s">
        <v>68</v>
      </c>
      <c r="B48" s="105" t="s">
        <v>69</v>
      </c>
      <c r="C48" s="84" t="s">
        <v>42</v>
      </c>
      <c r="D48" s="6" t="s">
        <v>43</v>
      </c>
      <c r="E48" s="35">
        <v>8187.13</v>
      </c>
      <c r="F48" s="101">
        <f>2731.1</f>
        <v>2731.1</v>
      </c>
      <c r="G48" s="3">
        <v>2731.14</v>
      </c>
      <c r="H48" s="3">
        <v>0</v>
      </c>
      <c r="I48" s="5">
        <v>2731.14</v>
      </c>
      <c r="J48" s="5">
        <v>0</v>
      </c>
      <c r="K48" s="7">
        <f t="shared" si="3"/>
        <v>-5455.99</v>
      </c>
      <c r="L48" s="7">
        <f t="shared" si="4"/>
        <v>0</v>
      </c>
      <c r="M48" s="7">
        <f t="shared" si="5"/>
        <v>0.03999999999996362</v>
      </c>
      <c r="N48" s="7">
        <f t="shared" si="6"/>
        <v>0</v>
      </c>
      <c r="O48" s="39">
        <f t="shared" si="9"/>
        <v>0.3335894263313273</v>
      </c>
      <c r="P48" s="39">
        <f t="shared" si="10"/>
        <v>1</v>
      </c>
      <c r="Q48" s="39">
        <f t="shared" si="11"/>
        <v>1.0000146461132877</v>
      </c>
    </row>
    <row r="49" spans="1:17" ht="18" customHeight="1">
      <c r="A49" s="129"/>
      <c r="B49" s="105"/>
      <c r="C49" s="93"/>
      <c r="D49" s="77" t="s">
        <v>11</v>
      </c>
      <c r="E49" s="28">
        <f>E48</f>
        <v>8187.13</v>
      </c>
      <c r="F49" s="78">
        <f>SUM(F48:F48)</f>
        <v>2731.1</v>
      </c>
      <c r="G49" s="78">
        <f>SUM(G48:G48)</f>
        <v>2731.14</v>
      </c>
      <c r="H49" s="78">
        <f>SUM(H48:H48)</f>
        <v>0</v>
      </c>
      <c r="I49" s="78">
        <f>SUM(I48:I48)</f>
        <v>2731.14</v>
      </c>
      <c r="J49" s="78">
        <f>SUM(J48:J48)</f>
        <v>0</v>
      </c>
      <c r="K49" s="79">
        <f t="shared" si="3"/>
        <v>-5455.99</v>
      </c>
      <c r="L49" s="79">
        <f t="shared" si="4"/>
        <v>0</v>
      </c>
      <c r="M49" s="79">
        <f t="shared" si="5"/>
        <v>0.03999999999996362</v>
      </c>
      <c r="N49" s="79">
        <f t="shared" si="6"/>
        <v>0</v>
      </c>
      <c r="O49" s="39">
        <f t="shared" si="9"/>
        <v>0.3335894263313273</v>
      </c>
      <c r="P49" s="39">
        <f t="shared" si="10"/>
        <v>1</v>
      </c>
      <c r="Q49" s="39">
        <f t="shared" si="11"/>
        <v>1.0000146461132877</v>
      </c>
    </row>
    <row r="50" spans="1:17" ht="18" customHeight="1">
      <c r="A50" s="139" t="s">
        <v>71</v>
      </c>
      <c r="B50" s="136" t="s">
        <v>105</v>
      </c>
      <c r="C50" s="94" t="s">
        <v>113</v>
      </c>
      <c r="D50" s="15" t="s">
        <v>132</v>
      </c>
      <c r="E50" s="35">
        <v>229857.08</v>
      </c>
      <c r="F50" s="3">
        <v>636054.38</v>
      </c>
      <c r="G50" s="3">
        <v>361223.16000000003</v>
      </c>
      <c r="H50" s="3">
        <v>50244.1</v>
      </c>
      <c r="I50" s="5">
        <v>322219.48000000004</v>
      </c>
      <c r="J50" s="5">
        <v>25620.28</v>
      </c>
      <c r="K50" s="7">
        <f t="shared" si="3"/>
        <v>92362.40000000005</v>
      </c>
      <c r="L50" s="7">
        <f t="shared" si="4"/>
        <v>-39003.67999999999</v>
      </c>
      <c r="M50" s="7">
        <f t="shared" si="5"/>
        <v>-313834.89999999997</v>
      </c>
      <c r="N50" s="7">
        <f t="shared" si="6"/>
        <v>-24623.82</v>
      </c>
      <c r="O50" s="39">
        <f t="shared" si="9"/>
        <v>1.4018253429478877</v>
      </c>
      <c r="P50" s="39">
        <f t="shared" si="10"/>
        <v>0.892023313233847</v>
      </c>
      <c r="Q50" s="39">
        <f t="shared" si="11"/>
        <v>0.5065910873846982</v>
      </c>
    </row>
    <row r="51" spans="1:17" ht="18" customHeight="1">
      <c r="A51" s="140"/>
      <c r="B51" s="137"/>
      <c r="C51" s="94" t="s">
        <v>114</v>
      </c>
      <c r="D51" s="15" t="s">
        <v>110</v>
      </c>
      <c r="E51" s="35">
        <v>165485.16</v>
      </c>
      <c r="F51" s="35">
        <v>415818.14</v>
      </c>
      <c r="G51" s="35">
        <v>241592.60000000003</v>
      </c>
      <c r="H51" s="35">
        <v>34093.3</v>
      </c>
      <c r="I51" s="5">
        <v>217581.17</v>
      </c>
      <c r="J51" s="5">
        <v>26962.15</v>
      </c>
      <c r="K51" s="16">
        <f t="shared" si="3"/>
        <v>52096.01000000001</v>
      </c>
      <c r="L51" s="16">
        <f t="shared" si="4"/>
        <v>-24011.430000000022</v>
      </c>
      <c r="M51" s="16">
        <f t="shared" si="5"/>
        <v>-198236.97</v>
      </c>
      <c r="N51" s="16">
        <f t="shared" si="6"/>
        <v>-7131.1500000000015</v>
      </c>
      <c r="O51" s="39">
        <f t="shared" si="9"/>
        <v>1.3148077446944488</v>
      </c>
      <c r="P51" s="39">
        <f t="shared" si="10"/>
        <v>0.9006118978809781</v>
      </c>
      <c r="Q51" s="39">
        <f t="shared" si="11"/>
        <v>0.5232604089855243</v>
      </c>
    </row>
    <row r="52" spans="1:17" ht="18" customHeight="1">
      <c r="A52" s="140"/>
      <c r="B52" s="137"/>
      <c r="C52" s="94" t="s">
        <v>115</v>
      </c>
      <c r="D52" s="15" t="s">
        <v>111</v>
      </c>
      <c r="E52" s="35">
        <v>2371865.83</v>
      </c>
      <c r="F52" s="5">
        <v>3830717.66</v>
      </c>
      <c r="G52" s="5">
        <v>2420908.45</v>
      </c>
      <c r="H52" s="5">
        <v>306612.8</v>
      </c>
      <c r="I52" s="5">
        <v>2547066.42</v>
      </c>
      <c r="J52" s="5">
        <v>343589.67</v>
      </c>
      <c r="K52" s="7">
        <f t="shared" si="3"/>
        <v>175200.58999999985</v>
      </c>
      <c r="L52" s="7">
        <f t="shared" si="4"/>
        <v>126157.96999999974</v>
      </c>
      <c r="M52" s="7">
        <f t="shared" si="5"/>
        <v>-1283651.2400000002</v>
      </c>
      <c r="N52" s="7">
        <f t="shared" si="6"/>
        <v>36976.869999999995</v>
      </c>
      <c r="O52" s="39">
        <f t="shared" si="9"/>
        <v>1.0738661469734145</v>
      </c>
      <c r="P52" s="39">
        <f t="shared" si="10"/>
        <v>1.0521118301685468</v>
      </c>
      <c r="Q52" s="39">
        <f t="shared" si="11"/>
        <v>0.6649058077540488</v>
      </c>
    </row>
    <row r="53" spans="1:17" ht="18" customHeight="1">
      <c r="A53" s="140"/>
      <c r="B53" s="137"/>
      <c r="C53" s="94" t="s">
        <v>129</v>
      </c>
      <c r="D53" s="15" t="s">
        <v>112</v>
      </c>
      <c r="E53" s="35">
        <v>1385.88</v>
      </c>
      <c r="F53" s="3">
        <v>0</v>
      </c>
      <c r="G53" s="3">
        <v>0</v>
      </c>
      <c r="H53" s="3">
        <v>0</v>
      </c>
      <c r="I53" s="5">
        <v>864.98</v>
      </c>
      <c r="J53" s="5">
        <v>199.04</v>
      </c>
      <c r="K53" s="7">
        <f t="shared" si="3"/>
        <v>-520.9000000000001</v>
      </c>
      <c r="L53" s="7">
        <f t="shared" si="4"/>
        <v>864.98</v>
      </c>
      <c r="M53" s="7">
        <f t="shared" si="5"/>
        <v>864.98</v>
      </c>
      <c r="N53" s="7">
        <f t="shared" si="6"/>
        <v>199.04</v>
      </c>
      <c r="O53" s="39">
        <f t="shared" si="9"/>
        <v>0.624137731982567</v>
      </c>
      <c r="P53" s="39">
        <f t="shared" si="10"/>
      </c>
      <c r="Q53" s="39">
        <f t="shared" si="11"/>
      </c>
    </row>
    <row r="54" spans="1:17" ht="18" customHeight="1">
      <c r="A54" s="141"/>
      <c r="B54" s="138"/>
      <c r="C54" s="95"/>
      <c r="D54" s="80" t="s">
        <v>11</v>
      </c>
      <c r="E54" s="81">
        <f>SUM(E50:E53)</f>
        <v>2768593.95</v>
      </c>
      <c r="F54" s="81">
        <f>SUM(F50:F53)</f>
        <v>4882590.18</v>
      </c>
      <c r="G54" s="81">
        <f>SUM(G50:G53)</f>
        <v>3023724.21</v>
      </c>
      <c r="H54" s="81">
        <f>SUM(H50:H53)</f>
        <v>390950.19999999995</v>
      </c>
      <c r="I54" s="81">
        <f>SUM(I50:I53)</f>
        <v>3087732.05</v>
      </c>
      <c r="J54" s="81">
        <f>SUM(J50:J53)</f>
        <v>396371.13999999996</v>
      </c>
      <c r="K54" s="81">
        <f t="shared" si="3"/>
        <v>319138.0999999996</v>
      </c>
      <c r="L54" s="81">
        <f t="shared" si="4"/>
        <v>64007.83999999985</v>
      </c>
      <c r="M54" s="81">
        <f t="shared" si="5"/>
        <v>-1794858.13</v>
      </c>
      <c r="N54" s="81">
        <f t="shared" si="6"/>
        <v>5420.940000000002</v>
      </c>
      <c r="O54" s="39">
        <f t="shared" si="9"/>
        <v>1.1152708218552596</v>
      </c>
      <c r="P54" s="39">
        <f t="shared" si="10"/>
        <v>1.0211685443362575</v>
      </c>
      <c r="Q54" s="39">
        <f t="shared" si="11"/>
        <v>0.6323963175627408</v>
      </c>
    </row>
    <row r="55" spans="1:17" ht="18" customHeight="1">
      <c r="A55" s="135">
        <v>991</v>
      </c>
      <c r="B55" s="135" t="s">
        <v>75</v>
      </c>
      <c r="C55" s="87" t="s">
        <v>44</v>
      </c>
      <c r="D55" s="8" t="s">
        <v>76</v>
      </c>
      <c r="E55" s="36">
        <v>36761.5</v>
      </c>
      <c r="F55" s="5">
        <v>54298.2</v>
      </c>
      <c r="G55" s="5">
        <v>34700</v>
      </c>
      <c r="H55" s="5">
        <v>4500</v>
      </c>
      <c r="I55" s="5">
        <v>36119.36</v>
      </c>
      <c r="J55" s="5">
        <v>4741.41</v>
      </c>
      <c r="K55" s="5">
        <f t="shared" si="3"/>
        <v>-642.1399999999994</v>
      </c>
      <c r="L55" s="5">
        <f t="shared" si="4"/>
        <v>1419.3600000000006</v>
      </c>
      <c r="M55" s="5">
        <f t="shared" si="5"/>
        <v>-18178.839999999997</v>
      </c>
      <c r="N55" s="5">
        <f t="shared" si="6"/>
        <v>241.40999999999985</v>
      </c>
      <c r="O55" s="39">
        <f t="shared" si="9"/>
        <v>0.9825322688138406</v>
      </c>
      <c r="P55" s="39">
        <f t="shared" si="10"/>
        <v>1.0409037463976945</v>
      </c>
      <c r="Q55" s="39">
        <f t="shared" si="11"/>
        <v>0.6652036347429565</v>
      </c>
    </row>
    <row r="56" spans="1:17" ht="18" customHeight="1">
      <c r="A56" s="135"/>
      <c r="B56" s="135"/>
      <c r="C56" s="84" t="s">
        <v>77</v>
      </c>
      <c r="D56" s="6" t="s">
        <v>78</v>
      </c>
      <c r="E56" s="36">
        <v>3553.5</v>
      </c>
      <c r="F56" s="5">
        <v>0</v>
      </c>
      <c r="G56" s="5">
        <v>0</v>
      </c>
      <c r="H56" s="5">
        <v>0</v>
      </c>
      <c r="I56" s="5">
        <v>6224.65</v>
      </c>
      <c r="J56" s="5">
        <v>1772</v>
      </c>
      <c r="K56" s="5">
        <f t="shared" si="3"/>
        <v>2671.1499999999996</v>
      </c>
      <c r="L56" s="5">
        <f t="shared" si="4"/>
        <v>6224.65</v>
      </c>
      <c r="M56" s="5">
        <f t="shared" si="5"/>
        <v>6224.65</v>
      </c>
      <c r="N56" s="5">
        <f t="shared" si="6"/>
        <v>1772</v>
      </c>
      <c r="O56" s="42">
        <f t="shared" si="9"/>
        <v>1.7516955114675672</v>
      </c>
      <c r="P56" s="39">
        <f t="shared" si="10"/>
      </c>
      <c r="Q56" s="39">
        <f t="shared" si="11"/>
      </c>
    </row>
    <row r="57" spans="1:17" ht="18" customHeight="1">
      <c r="A57" s="135"/>
      <c r="B57" s="135"/>
      <c r="C57" s="93"/>
      <c r="D57" s="76" t="s">
        <v>11</v>
      </c>
      <c r="E57" s="28">
        <f aca="true" t="shared" si="12" ref="E57:J57">SUM(E55:E56)</f>
        <v>40315</v>
      </c>
      <c r="F57" s="28">
        <f t="shared" si="12"/>
        <v>54298.2</v>
      </c>
      <c r="G57" s="28">
        <f t="shared" si="12"/>
        <v>34700</v>
      </c>
      <c r="H57" s="28">
        <f t="shared" si="12"/>
        <v>4500</v>
      </c>
      <c r="I57" s="28">
        <f t="shared" si="12"/>
        <v>42344.01</v>
      </c>
      <c r="J57" s="28">
        <f t="shared" si="12"/>
        <v>6513.41</v>
      </c>
      <c r="K57" s="28">
        <f t="shared" si="3"/>
        <v>2029.010000000002</v>
      </c>
      <c r="L57" s="28">
        <f t="shared" si="4"/>
        <v>7644.010000000002</v>
      </c>
      <c r="M57" s="28">
        <f t="shared" si="5"/>
        <v>-11954.189999999995</v>
      </c>
      <c r="N57" s="28">
        <f t="shared" si="6"/>
        <v>2013.4099999999999</v>
      </c>
      <c r="O57" s="75">
        <f t="shared" si="9"/>
        <v>1.050328909835049</v>
      </c>
      <c r="P57" s="39">
        <f t="shared" si="10"/>
        <v>1.2202884726224785</v>
      </c>
      <c r="Q57" s="75">
        <f t="shared" si="11"/>
        <v>0.7798418732112667</v>
      </c>
    </row>
    <row r="58" spans="1:17" ht="18" customHeight="1">
      <c r="A58" s="129" t="s">
        <v>79</v>
      </c>
      <c r="B58" s="105" t="s">
        <v>80</v>
      </c>
      <c r="C58" s="84" t="s">
        <v>81</v>
      </c>
      <c r="D58" s="6" t="s">
        <v>82</v>
      </c>
      <c r="E58" s="36">
        <v>2968.05</v>
      </c>
      <c r="F58" s="5">
        <v>7767.5</v>
      </c>
      <c r="G58" s="5">
        <v>5687.9000000000015</v>
      </c>
      <c r="H58" s="5">
        <v>231.5</v>
      </c>
      <c r="I58" s="5">
        <v>8839.43</v>
      </c>
      <c r="J58" s="5">
        <v>502.57</v>
      </c>
      <c r="K58" s="5">
        <f t="shared" si="3"/>
        <v>5871.38</v>
      </c>
      <c r="L58" s="5">
        <f t="shared" si="4"/>
        <v>3151.529999999999</v>
      </c>
      <c r="M58" s="5">
        <f t="shared" si="5"/>
        <v>1071.9300000000003</v>
      </c>
      <c r="N58" s="5">
        <f t="shared" si="6"/>
        <v>271.07</v>
      </c>
      <c r="O58" s="39">
        <f t="shared" si="9"/>
        <v>2.9781944374252456</v>
      </c>
      <c r="P58" s="39">
        <f t="shared" si="10"/>
        <v>1.5540761968389032</v>
      </c>
      <c r="Q58" s="39">
        <f t="shared" si="11"/>
        <v>1.13800193112327</v>
      </c>
    </row>
    <row r="59" spans="1:17" ht="18" customHeight="1">
      <c r="A59" s="129"/>
      <c r="B59" s="105"/>
      <c r="C59" s="86"/>
      <c r="D59" s="76" t="s">
        <v>11</v>
      </c>
      <c r="E59" s="28">
        <f aca="true" t="shared" si="13" ref="E59:K59">E58</f>
        <v>2968.05</v>
      </c>
      <c r="F59" s="28">
        <f t="shared" si="13"/>
        <v>7767.5</v>
      </c>
      <c r="G59" s="28">
        <f t="shared" si="13"/>
        <v>5687.9000000000015</v>
      </c>
      <c r="H59" s="28">
        <f t="shared" si="13"/>
        <v>231.5</v>
      </c>
      <c r="I59" s="28">
        <f t="shared" si="13"/>
        <v>8839.43</v>
      </c>
      <c r="J59" s="28">
        <f t="shared" si="13"/>
        <v>502.57</v>
      </c>
      <c r="K59" s="82">
        <f t="shared" si="13"/>
        <v>5871.38</v>
      </c>
      <c r="L59" s="82">
        <f t="shared" si="4"/>
        <v>3151.529999999999</v>
      </c>
      <c r="M59" s="82">
        <f t="shared" si="5"/>
        <v>1071.9300000000003</v>
      </c>
      <c r="N59" s="82">
        <f t="shared" si="6"/>
        <v>271.07</v>
      </c>
      <c r="O59" s="75">
        <f t="shared" si="9"/>
        <v>2.9781944374252456</v>
      </c>
      <c r="P59" s="75">
        <f t="shared" si="10"/>
        <v>1.5540761968389032</v>
      </c>
      <c r="Q59" s="75">
        <f t="shared" si="11"/>
        <v>1.13800193112327</v>
      </c>
    </row>
    <row r="60" spans="1:17" ht="18" customHeight="1">
      <c r="A60" s="105"/>
      <c r="B60" s="105" t="s">
        <v>83</v>
      </c>
      <c r="C60" s="84" t="s">
        <v>107</v>
      </c>
      <c r="D60" s="9" t="s">
        <v>84</v>
      </c>
      <c r="E60" s="36">
        <v>823.3</v>
      </c>
      <c r="F60" s="5">
        <v>41.2</v>
      </c>
      <c r="G60" s="5">
        <v>41.2</v>
      </c>
      <c r="H60" s="5">
        <v>0</v>
      </c>
      <c r="I60" s="64">
        <v>195.08</v>
      </c>
      <c r="J60" s="64">
        <v>36.26</v>
      </c>
      <c r="K60" s="5">
        <f aca="true" t="shared" si="14" ref="K60:K78">I60-E60</f>
        <v>-628.2199999999999</v>
      </c>
      <c r="L60" s="5">
        <f t="shared" si="4"/>
        <v>153.88</v>
      </c>
      <c r="M60" s="5">
        <f t="shared" si="5"/>
        <v>153.88</v>
      </c>
      <c r="N60" s="5">
        <f t="shared" si="6"/>
        <v>36.26</v>
      </c>
      <c r="O60" s="39">
        <f t="shared" si="9"/>
        <v>0.23694886432649098</v>
      </c>
      <c r="P60" s="39">
        <f t="shared" si="10"/>
        <v>4.73495145631068</v>
      </c>
      <c r="Q60" s="39">
        <f t="shared" si="11"/>
        <v>4.73495145631068</v>
      </c>
    </row>
    <row r="61" spans="1:17" ht="18" customHeight="1">
      <c r="A61" s="106"/>
      <c r="B61" s="106"/>
      <c r="C61" s="84" t="s">
        <v>108</v>
      </c>
      <c r="D61" s="6" t="s">
        <v>144</v>
      </c>
      <c r="E61" s="36">
        <v>128.69</v>
      </c>
      <c r="F61" s="17">
        <v>47.1</v>
      </c>
      <c r="G61" s="17">
        <v>47.1</v>
      </c>
      <c r="H61" s="17">
        <v>0</v>
      </c>
      <c r="I61" s="5">
        <v>278.79</v>
      </c>
      <c r="J61" s="5">
        <v>6.75</v>
      </c>
      <c r="K61" s="17">
        <f t="shared" si="14"/>
        <v>150.10000000000002</v>
      </c>
      <c r="L61" s="17">
        <f t="shared" si="4"/>
        <v>231.69000000000003</v>
      </c>
      <c r="M61" s="17">
        <f t="shared" si="5"/>
        <v>231.69000000000003</v>
      </c>
      <c r="N61" s="17">
        <f t="shared" si="6"/>
        <v>6.75</v>
      </c>
      <c r="O61" s="39">
        <f t="shared" si="9"/>
        <v>2.1663687932240268</v>
      </c>
      <c r="P61" s="39">
        <f t="shared" si="10"/>
        <v>5.919108280254777</v>
      </c>
      <c r="Q61" s="39">
        <f t="shared" si="11"/>
        <v>5.919108280254777</v>
      </c>
    </row>
    <row r="62" spans="1:17" ht="18" customHeight="1">
      <c r="A62" s="105"/>
      <c r="B62" s="105"/>
      <c r="C62" s="84" t="s">
        <v>42</v>
      </c>
      <c r="D62" s="6" t="s">
        <v>43</v>
      </c>
      <c r="E62" s="36">
        <v>9531</v>
      </c>
      <c r="F62" s="5">
        <v>7387.5</v>
      </c>
      <c r="G62" s="5">
        <v>7387.5</v>
      </c>
      <c r="H62" s="5">
        <v>0</v>
      </c>
      <c r="I62" s="5">
        <v>7387.5</v>
      </c>
      <c r="J62" s="5">
        <v>0</v>
      </c>
      <c r="K62" s="5">
        <f t="shared" si="14"/>
        <v>-2143.5</v>
      </c>
      <c r="L62" s="5">
        <f t="shared" si="4"/>
        <v>0</v>
      </c>
      <c r="M62" s="5">
        <f t="shared" si="5"/>
        <v>0</v>
      </c>
      <c r="N62" s="5">
        <f t="shared" si="6"/>
        <v>0</v>
      </c>
      <c r="O62" s="39">
        <f t="shared" si="9"/>
        <v>0.7751022977651872</v>
      </c>
      <c r="P62" s="39">
        <f t="shared" si="10"/>
        <v>1</v>
      </c>
      <c r="Q62" s="39">
        <f t="shared" si="11"/>
        <v>1</v>
      </c>
    </row>
    <row r="63" spans="1:17" ht="17.25" customHeight="1">
      <c r="A63" s="105"/>
      <c r="B63" s="105"/>
      <c r="C63" s="84" t="s">
        <v>116</v>
      </c>
      <c r="D63" s="102" t="s">
        <v>70</v>
      </c>
      <c r="E63" s="36">
        <v>36592.94999999961</v>
      </c>
      <c r="F63" s="3">
        <v>680.5</v>
      </c>
      <c r="G63" s="3">
        <v>460</v>
      </c>
      <c r="H63" s="3">
        <v>80</v>
      </c>
      <c r="I63" s="5">
        <v>71887.74999999804</v>
      </c>
      <c r="J63" s="5">
        <v>1396.279999999972</v>
      </c>
      <c r="K63" s="3">
        <f t="shared" si="14"/>
        <v>35294.799999998424</v>
      </c>
      <c r="L63" s="3">
        <f t="shared" si="4"/>
        <v>71427.74999999804</v>
      </c>
      <c r="M63" s="3">
        <f t="shared" si="5"/>
        <v>71207.24999999804</v>
      </c>
      <c r="N63" s="3">
        <f t="shared" si="6"/>
        <v>1316.279999999972</v>
      </c>
      <c r="O63" s="39">
        <f t="shared" si="9"/>
        <v>1.9645245873863353</v>
      </c>
      <c r="P63" s="39">
        <f t="shared" si="10"/>
        <v>156.2777173913001</v>
      </c>
      <c r="Q63" s="39">
        <f t="shared" si="11"/>
        <v>105.63960323291408</v>
      </c>
    </row>
    <row r="64" spans="1:17" ht="18" customHeight="1">
      <c r="A64" s="105"/>
      <c r="B64" s="105"/>
      <c r="C64" s="84" t="s">
        <v>73</v>
      </c>
      <c r="D64" s="6" t="s">
        <v>74</v>
      </c>
      <c r="E64" s="35">
        <v>57305.24999999999</v>
      </c>
      <c r="F64" s="3">
        <v>81594.89999999997</v>
      </c>
      <c r="G64" s="3">
        <v>50793.4</v>
      </c>
      <c r="H64" s="3">
        <v>6832.1</v>
      </c>
      <c r="I64" s="5">
        <v>67756.17000000006</v>
      </c>
      <c r="J64" s="5">
        <v>6264.4500000000035</v>
      </c>
      <c r="K64" s="3">
        <f t="shared" si="14"/>
        <v>10450.920000000064</v>
      </c>
      <c r="L64" s="3">
        <f t="shared" si="4"/>
        <v>16962.770000000055</v>
      </c>
      <c r="M64" s="3">
        <f t="shared" si="5"/>
        <v>-13838.729999999909</v>
      </c>
      <c r="N64" s="3">
        <f t="shared" si="6"/>
        <v>-567.6499999999969</v>
      </c>
      <c r="O64" s="39">
        <f t="shared" si="9"/>
        <v>1.1823728192443113</v>
      </c>
      <c r="P64" s="39">
        <f t="shared" si="10"/>
        <v>1.333956183283656</v>
      </c>
      <c r="Q64" s="39">
        <f t="shared" si="11"/>
        <v>0.8303971204082619</v>
      </c>
    </row>
    <row r="65" spans="1:17" ht="18" customHeight="1">
      <c r="A65" s="105"/>
      <c r="B65" s="105"/>
      <c r="C65" s="84" t="s">
        <v>85</v>
      </c>
      <c r="D65" s="6" t="s">
        <v>86</v>
      </c>
      <c r="E65" s="35">
        <v>757.1500000000001</v>
      </c>
      <c r="F65" s="3">
        <v>0</v>
      </c>
      <c r="G65" s="3">
        <v>0</v>
      </c>
      <c r="H65" s="3">
        <v>0</v>
      </c>
      <c r="I65" s="5">
        <v>-5495.09</v>
      </c>
      <c r="J65" s="5">
        <v>-120.44999999999997</v>
      </c>
      <c r="K65" s="3">
        <f t="shared" si="14"/>
        <v>-6252.24</v>
      </c>
      <c r="L65" s="3">
        <f t="shared" si="4"/>
        <v>-5495.09</v>
      </c>
      <c r="M65" s="3">
        <f t="shared" si="5"/>
        <v>-5495.09</v>
      </c>
      <c r="N65" s="3">
        <f t="shared" si="6"/>
        <v>-120.44999999999997</v>
      </c>
      <c r="O65" s="39">
        <f t="shared" si="9"/>
        <v>-7.257597569834246</v>
      </c>
      <c r="P65" s="39">
        <f t="shared" si="10"/>
      </c>
      <c r="Q65" s="39">
        <f t="shared" si="11"/>
      </c>
    </row>
    <row r="66" spans="1:17" ht="18" customHeight="1">
      <c r="A66" s="105"/>
      <c r="B66" s="105"/>
      <c r="C66" s="84" t="s">
        <v>154</v>
      </c>
      <c r="D66" s="6" t="s">
        <v>60</v>
      </c>
      <c r="E66" s="35">
        <f>16995.72+525.8</f>
        <v>17521.52</v>
      </c>
      <c r="F66" s="3">
        <v>16333.1</v>
      </c>
      <c r="G66" s="3">
        <v>8050</v>
      </c>
      <c r="H66" s="3">
        <v>2100</v>
      </c>
      <c r="I66" s="5">
        <v>47467.170000000006</v>
      </c>
      <c r="J66" s="5">
        <v>3804.0099999999998</v>
      </c>
      <c r="K66" s="3">
        <f t="shared" si="14"/>
        <v>29945.650000000005</v>
      </c>
      <c r="L66" s="3">
        <f aca="true" t="shared" si="15" ref="L66:L78">I66-G66</f>
        <v>39417.170000000006</v>
      </c>
      <c r="M66" s="3">
        <f aca="true" t="shared" si="16" ref="M66:M79">I66-F66</f>
        <v>31134.070000000007</v>
      </c>
      <c r="N66" s="3">
        <f aca="true" t="shared" si="17" ref="N66:N79">J66-H66</f>
        <v>1704.0099999999998</v>
      </c>
      <c r="O66" s="39">
        <f t="shared" si="9"/>
        <v>2.7090783219720667</v>
      </c>
      <c r="P66" s="39">
        <f t="shared" si="10"/>
        <v>5.896542857142858</v>
      </c>
      <c r="Q66" s="39">
        <f t="shared" si="11"/>
        <v>2.9061947823744423</v>
      </c>
    </row>
    <row r="67" spans="1:17" ht="18" customHeight="1">
      <c r="A67" s="107"/>
      <c r="B67" s="107"/>
      <c r="C67" s="84" t="s">
        <v>148</v>
      </c>
      <c r="D67" s="6" t="s">
        <v>147</v>
      </c>
      <c r="E67" s="35">
        <v>2149.43</v>
      </c>
      <c r="F67" s="3">
        <v>0</v>
      </c>
      <c r="G67" s="3">
        <f>H67</f>
        <v>0</v>
      </c>
      <c r="H67" s="3">
        <v>0</v>
      </c>
      <c r="I67" s="5">
        <v>795.93</v>
      </c>
      <c r="J67" s="5">
        <v>0</v>
      </c>
      <c r="K67" s="3">
        <f t="shared" si="14"/>
        <v>-1353.5</v>
      </c>
      <c r="L67" s="3">
        <f t="shared" si="15"/>
        <v>795.93</v>
      </c>
      <c r="M67" s="3">
        <f t="shared" si="16"/>
        <v>795.93</v>
      </c>
      <c r="N67" s="3">
        <f t="shared" si="17"/>
        <v>0</v>
      </c>
      <c r="O67" s="39">
        <f t="shared" si="9"/>
        <v>0.3702981720735265</v>
      </c>
      <c r="P67" s="39">
        <f t="shared" si="10"/>
      </c>
      <c r="Q67" s="39">
        <f t="shared" si="11"/>
      </c>
    </row>
    <row r="68" spans="1:17" ht="15.75">
      <c r="A68" s="105"/>
      <c r="B68" s="105"/>
      <c r="C68" s="86"/>
      <c r="D68" s="76" t="s">
        <v>87</v>
      </c>
      <c r="E68" s="28">
        <f aca="true" t="shared" si="18" ref="E68:J68">SUM(E60:E67)</f>
        <v>124809.28999999959</v>
      </c>
      <c r="F68" s="28">
        <f t="shared" si="18"/>
        <v>106084.29999999997</v>
      </c>
      <c r="G68" s="28">
        <f t="shared" si="18"/>
        <v>66779.20000000001</v>
      </c>
      <c r="H68" s="28">
        <f t="shared" si="18"/>
        <v>9012.1</v>
      </c>
      <c r="I68" s="28">
        <f t="shared" si="18"/>
        <v>190273.2999999981</v>
      </c>
      <c r="J68" s="28">
        <f t="shared" si="18"/>
        <v>11387.299999999976</v>
      </c>
      <c r="K68" s="82">
        <f t="shared" si="14"/>
        <v>65464.00999999851</v>
      </c>
      <c r="L68" s="82">
        <f t="shared" si="15"/>
        <v>123494.09999999808</v>
      </c>
      <c r="M68" s="82">
        <f t="shared" si="16"/>
        <v>84188.99999999812</v>
      </c>
      <c r="N68" s="82">
        <f t="shared" si="17"/>
        <v>2375.1999999999753</v>
      </c>
      <c r="O68" s="75">
        <f aca="true" t="shared" si="19" ref="O68:O79">_xlfn.IFERROR(I68/E68,"")</f>
        <v>1.5245123179532447</v>
      </c>
      <c r="P68" s="75">
        <f aca="true" t="shared" si="20" ref="P68:P78">_xlfn.IFERROR(I68/G68,"")</f>
        <v>2.849289898651048</v>
      </c>
      <c r="Q68" s="75">
        <f aca="true" t="shared" si="21" ref="Q68:Q79">_xlfn.IFERROR(I68/F68,"")</f>
        <v>1.793604708708057</v>
      </c>
    </row>
    <row r="69" spans="1:17" s="99" customFormat="1" ht="23.25" customHeight="1">
      <c r="A69" s="108" t="s">
        <v>88</v>
      </c>
      <c r="B69" s="108"/>
      <c r="C69" s="109"/>
      <c r="D69" s="108"/>
      <c r="E69" s="98">
        <f aca="true" t="shared" si="22" ref="E69:J69">E5+E22</f>
        <v>14037333.379999999</v>
      </c>
      <c r="F69" s="98">
        <f t="shared" si="22"/>
        <v>26581534.110000003</v>
      </c>
      <c r="G69" s="98">
        <f t="shared" si="22"/>
        <v>15317084.620000001</v>
      </c>
      <c r="H69" s="98">
        <f t="shared" si="22"/>
        <v>1786785.3299999996</v>
      </c>
      <c r="I69" s="98">
        <f t="shared" si="22"/>
        <v>15666151.319999993</v>
      </c>
      <c r="J69" s="98">
        <f t="shared" si="22"/>
        <v>1949932.45</v>
      </c>
      <c r="K69" s="46">
        <f t="shared" si="14"/>
        <v>1628817.939999994</v>
      </c>
      <c r="L69" s="46">
        <f t="shared" si="15"/>
        <v>349066.6999999918</v>
      </c>
      <c r="M69" s="46">
        <f t="shared" si="16"/>
        <v>-10915382.79000001</v>
      </c>
      <c r="N69" s="46">
        <f t="shared" si="17"/>
        <v>163147.12000000034</v>
      </c>
      <c r="O69" s="47">
        <f t="shared" si="19"/>
        <v>1.1160347122852186</v>
      </c>
      <c r="P69" s="47">
        <f t="shared" si="20"/>
        <v>1.0227893694302768</v>
      </c>
      <c r="Q69" s="47">
        <f t="shared" si="21"/>
        <v>0.5893621961460219</v>
      </c>
    </row>
    <row r="70" spans="1:17" ht="28.5" customHeight="1">
      <c r="A70" s="110"/>
      <c r="B70" s="112"/>
      <c r="C70" s="84"/>
      <c r="D70" s="45" t="s">
        <v>89</v>
      </c>
      <c r="E70" s="44">
        <f aca="true" t="shared" si="23" ref="E70:K70">SUM(E71:E78)</f>
        <v>13241874.96</v>
      </c>
      <c r="F70" s="44">
        <f t="shared" si="23"/>
        <v>28419756.463000003</v>
      </c>
      <c r="G70" s="44">
        <f t="shared" si="23"/>
        <v>15441741.863</v>
      </c>
      <c r="H70" s="44">
        <f t="shared" si="23"/>
        <v>1841186.9</v>
      </c>
      <c r="I70" s="44">
        <f t="shared" si="23"/>
        <v>15268676.459999999</v>
      </c>
      <c r="J70" s="44">
        <f t="shared" si="23"/>
        <v>1576231.77</v>
      </c>
      <c r="K70" s="44">
        <f t="shared" si="23"/>
        <v>2026801.4999999998</v>
      </c>
      <c r="L70" s="46">
        <f t="shared" si="15"/>
        <v>-173065.40300000086</v>
      </c>
      <c r="M70" s="46">
        <f t="shared" si="16"/>
        <v>-13151080.003000004</v>
      </c>
      <c r="N70" s="46">
        <f t="shared" si="17"/>
        <v>-264955.1299999999</v>
      </c>
      <c r="O70" s="47">
        <f t="shared" si="19"/>
        <v>1.153060008958127</v>
      </c>
      <c r="P70" s="47">
        <f t="shared" si="20"/>
        <v>0.9887923652308498</v>
      </c>
      <c r="Q70" s="47">
        <f t="shared" si="21"/>
        <v>0.5372557108249136</v>
      </c>
    </row>
    <row r="71" spans="1:17" ht="31.5">
      <c r="A71" s="110"/>
      <c r="B71" s="112"/>
      <c r="C71" s="84" t="s">
        <v>125</v>
      </c>
      <c r="D71" s="18" t="s">
        <v>90</v>
      </c>
      <c r="E71" s="35">
        <v>539943.4</v>
      </c>
      <c r="F71" s="3">
        <v>384548</v>
      </c>
      <c r="G71" s="18">
        <v>351689.9</v>
      </c>
      <c r="H71" s="3">
        <v>31556</v>
      </c>
      <c r="I71" s="3">
        <v>369367.6</v>
      </c>
      <c r="J71" s="3">
        <v>42723.9</v>
      </c>
      <c r="K71" s="3">
        <f>I71-E71</f>
        <v>-170575.80000000005</v>
      </c>
      <c r="L71" s="3">
        <f>I71-G71</f>
        <v>17677.699999999953</v>
      </c>
      <c r="M71" s="3">
        <f>I71-F71</f>
        <v>-15180.400000000023</v>
      </c>
      <c r="N71" s="3">
        <f>J71-H71</f>
        <v>11167.900000000001</v>
      </c>
      <c r="O71" s="40">
        <f t="shared" si="19"/>
        <v>0.6840857763980446</v>
      </c>
      <c r="P71" s="40">
        <f t="shared" si="20"/>
        <v>1.0502650204057606</v>
      </c>
      <c r="Q71" s="40">
        <f t="shared" si="21"/>
        <v>0.9605240438124759</v>
      </c>
    </row>
    <row r="72" spans="1:17" ht="18" customHeight="1">
      <c r="A72" s="110"/>
      <c r="B72" s="112"/>
      <c r="C72" s="84" t="s">
        <v>126</v>
      </c>
      <c r="D72" s="19" t="s">
        <v>91</v>
      </c>
      <c r="E72" s="35">
        <v>2798260.8300000005</v>
      </c>
      <c r="F72" s="3">
        <v>9783235.25</v>
      </c>
      <c r="G72" s="18">
        <v>3346372</v>
      </c>
      <c r="H72" s="35">
        <v>602410</v>
      </c>
      <c r="I72" s="35">
        <v>3346372.02</v>
      </c>
      <c r="J72" s="35">
        <v>602410</v>
      </c>
      <c r="K72" s="3">
        <f>I72-E72</f>
        <v>548111.1899999995</v>
      </c>
      <c r="L72" s="3">
        <f>I72-G72</f>
        <v>0.02000000001862645</v>
      </c>
      <c r="M72" s="3">
        <f>I72-F72</f>
        <v>-6436863.23</v>
      </c>
      <c r="N72" s="3">
        <f>J72-H72</f>
        <v>0</v>
      </c>
      <c r="O72" s="40">
        <f t="shared" si="19"/>
        <v>1.1958756610976824</v>
      </c>
      <c r="P72" s="40">
        <f t="shared" si="20"/>
        <v>1.0000000059766219</v>
      </c>
      <c r="Q72" s="40">
        <f t="shared" si="21"/>
        <v>0.3420516766168942</v>
      </c>
    </row>
    <row r="73" spans="1:17" ht="18" customHeight="1">
      <c r="A73" s="110"/>
      <c r="B73" s="112"/>
      <c r="C73" s="84" t="s">
        <v>127</v>
      </c>
      <c r="D73" s="19" t="s">
        <v>92</v>
      </c>
      <c r="E73" s="35">
        <v>7179761.9</v>
      </c>
      <c r="F73" s="3">
        <v>12310368.53</v>
      </c>
      <c r="G73" s="18">
        <v>8022791.4</v>
      </c>
      <c r="H73" s="35">
        <v>700407.95</v>
      </c>
      <c r="I73" s="35">
        <v>8022791.4</v>
      </c>
      <c r="J73" s="35">
        <v>700407.95</v>
      </c>
      <c r="K73" s="3">
        <f>I73-E73</f>
        <v>843029.5</v>
      </c>
      <c r="L73" s="3">
        <f>I73-G73</f>
        <v>0</v>
      </c>
      <c r="M73" s="3">
        <f t="shared" si="16"/>
        <v>-4287577.129999999</v>
      </c>
      <c r="N73" s="3">
        <f>J73-H73</f>
        <v>0</v>
      </c>
      <c r="O73" s="40">
        <f t="shared" si="19"/>
        <v>1.1174174731337538</v>
      </c>
      <c r="P73" s="40">
        <f t="shared" si="20"/>
        <v>1</v>
      </c>
      <c r="Q73" s="40">
        <f t="shared" si="21"/>
        <v>0.6517100914118613</v>
      </c>
    </row>
    <row r="74" spans="1:17" ht="18" customHeight="1">
      <c r="A74" s="110"/>
      <c r="B74" s="112"/>
      <c r="C74" s="84" t="s">
        <v>128</v>
      </c>
      <c r="D74" s="8" t="s">
        <v>93</v>
      </c>
      <c r="E74" s="35">
        <v>2678317.33</v>
      </c>
      <c r="F74" s="3">
        <v>5438749.75</v>
      </c>
      <c r="G74" s="18">
        <v>3218033.6</v>
      </c>
      <c r="H74" s="3">
        <v>226730.98</v>
      </c>
      <c r="I74" s="3">
        <v>3193431.18</v>
      </c>
      <c r="J74" s="3">
        <v>231121.2</v>
      </c>
      <c r="K74" s="3">
        <f>I74-E74</f>
        <v>515113.8500000001</v>
      </c>
      <c r="L74" s="3">
        <f>I74-G74</f>
        <v>-24602.419999999925</v>
      </c>
      <c r="M74" s="3">
        <f t="shared" si="16"/>
        <v>-2245318.57</v>
      </c>
      <c r="N74" s="3">
        <f>J74-H74</f>
        <v>4390.220000000001</v>
      </c>
      <c r="O74" s="40">
        <f t="shared" si="19"/>
        <v>1.1923274155120371</v>
      </c>
      <c r="P74" s="40">
        <f t="shared" si="20"/>
        <v>0.9923548281161515</v>
      </c>
      <c r="Q74" s="40">
        <f t="shared" si="21"/>
        <v>0.587162735332693</v>
      </c>
    </row>
    <row r="75" spans="1:17" ht="31.5">
      <c r="A75" s="111"/>
      <c r="B75" s="113"/>
      <c r="C75" s="84" t="s">
        <v>124</v>
      </c>
      <c r="D75" s="8" t="s">
        <v>123</v>
      </c>
      <c r="E75" s="35">
        <v>4.06</v>
      </c>
      <c r="F75" s="3">
        <v>0</v>
      </c>
      <c r="G75" s="18">
        <v>0</v>
      </c>
      <c r="H75" s="3">
        <v>0</v>
      </c>
      <c r="I75" s="3">
        <v>924.17</v>
      </c>
      <c r="J75" s="3">
        <v>0</v>
      </c>
      <c r="K75" s="3">
        <f>I75-E75</f>
        <v>920.11</v>
      </c>
      <c r="L75" s="3">
        <f>I75-G75</f>
        <v>924.17</v>
      </c>
      <c r="M75" s="3">
        <f>I75-F75</f>
        <v>924.17</v>
      </c>
      <c r="N75" s="3">
        <f t="shared" si="17"/>
        <v>0</v>
      </c>
      <c r="O75" s="41">
        <f t="shared" si="19"/>
        <v>227.628078817734</v>
      </c>
      <c r="P75" s="40">
        <f t="shared" si="20"/>
      </c>
      <c r="Q75" s="41">
        <f t="shared" si="21"/>
      </c>
    </row>
    <row r="76" spans="1:17" ht="18.75" customHeight="1">
      <c r="A76" s="110"/>
      <c r="B76" s="112"/>
      <c r="C76" s="84" t="s">
        <v>94</v>
      </c>
      <c r="D76" s="31" t="s">
        <v>95</v>
      </c>
      <c r="E76" s="35">
        <v>62670.44</v>
      </c>
      <c r="F76" s="3">
        <f>214766.093+280081.97</f>
        <v>494848.06299999997</v>
      </c>
      <c r="G76" s="3">
        <f>214766.093+280082</f>
        <v>494848.093</v>
      </c>
      <c r="H76" s="3">
        <v>280081.97</v>
      </c>
      <c r="I76" s="3">
        <v>494848.06</v>
      </c>
      <c r="J76" s="3">
        <v>0</v>
      </c>
      <c r="K76" s="3">
        <f>I76-E76</f>
        <v>432177.62</v>
      </c>
      <c r="L76" s="3">
        <f>I76-G76</f>
        <v>-0.03299999999580905</v>
      </c>
      <c r="M76" s="3">
        <f>I76-F76</f>
        <v>-0.002999999967869371</v>
      </c>
      <c r="N76" s="3">
        <f>J76-H76</f>
        <v>-280081.97</v>
      </c>
      <c r="O76" s="40">
        <f t="shared" si="19"/>
        <v>7.896036153567774</v>
      </c>
      <c r="P76" s="40">
        <f t="shared" si="20"/>
        <v>0.9999999333128682</v>
      </c>
      <c r="Q76" s="40">
        <f t="shared" si="21"/>
        <v>0.9999999939375331</v>
      </c>
    </row>
    <row r="77" spans="1:17" ht="31.5">
      <c r="A77" s="110"/>
      <c r="B77" s="112"/>
      <c r="C77" s="84" t="s">
        <v>96</v>
      </c>
      <c r="D77" s="6" t="s">
        <v>97</v>
      </c>
      <c r="E77" s="35">
        <v>322724.93000000005</v>
      </c>
      <c r="F77" s="5">
        <v>8006.87</v>
      </c>
      <c r="G77" s="5">
        <v>8006.87</v>
      </c>
      <c r="H77" s="5">
        <v>0</v>
      </c>
      <c r="I77" s="5">
        <v>159864.75000000003</v>
      </c>
      <c r="J77" s="5">
        <v>38.59</v>
      </c>
      <c r="K77" s="3">
        <f t="shared" si="14"/>
        <v>-162860.18000000002</v>
      </c>
      <c r="L77" s="3">
        <f t="shared" si="15"/>
        <v>151857.88000000003</v>
      </c>
      <c r="M77" s="3">
        <f>I77-F77</f>
        <v>151857.88000000003</v>
      </c>
      <c r="N77" s="3">
        <f t="shared" si="17"/>
        <v>38.59</v>
      </c>
      <c r="O77" s="40">
        <f t="shared" si="19"/>
        <v>0.49535915926916463</v>
      </c>
      <c r="P77" s="40">
        <f>_xlfn.IFERROR(I77/G77,"")</f>
        <v>19.965947992161734</v>
      </c>
      <c r="Q77" s="40">
        <f t="shared" si="21"/>
        <v>19.965947992161734</v>
      </c>
    </row>
    <row r="78" spans="1:17" ht="18" customHeight="1">
      <c r="A78" s="110"/>
      <c r="B78" s="112"/>
      <c r="C78" s="84" t="s">
        <v>98</v>
      </c>
      <c r="D78" s="6" t="s">
        <v>99</v>
      </c>
      <c r="E78" s="35">
        <v>-339807.93</v>
      </c>
      <c r="F78" s="3">
        <v>0</v>
      </c>
      <c r="G78" s="18">
        <v>0</v>
      </c>
      <c r="H78" s="3">
        <v>0</v>
      </c>
      <c r="I78" s="3">
        <v>-318922.72000000003</v>
      </c>
      <c r="J78" s="3">
        <v>-469.87</v>
      </c>
      <c r="K78" s="3">
        <f t="shared" si="14"/>
        <v>20885.209999999963</v>
      </c>
      <c r="L78" s="3">
        <f t="shared" si="15"/>
        <v>-318922.72000000003</v>
      </c>
      <c r="M78" s="3">
        <f t="shared" si="16"/>
        <v>-318922.72000000003</v>
      </c>
      <c r="N78" s="3">
        <f t="shared" si="17"/>
        <v>-469.87</v>
      </c>
      <c r="O78" s="40">
        <f t="shared" si="19"/>
        <v>0.938538191265872</v>
      </c>
      <c r="P78" s="40">
        <f t="shared" si="20"/>
      </c>
      <c r="Q78" s="40">
        <f t="shared" si="21"/>
      </c>
    </row>
    <row r="79" spans="1:17" ht="30" customHeight="1">
      <c r="A79" s="103" t="s">
        <v>100</v>
      </c>
      <c r="B79" s="103"/>
      <c r="C79" s="104"/>
      <c r="D79" s="103"/>
      <c r="E79" s="50">
        <f aca="true" t="shared" si="24" ref="E79:L79">E69+E70</f>
        <v>27279208.34</v>
      </c>
      <c r="F79" s="50">
        <f t="shared" si="24"/>
        <v>55001290.57300001</v>
      </c>
      <c r="G79" s="50">
        <f t="shared" si="24"/>
        <v>30758826.483000003</v>
      </c>
      <c r="H79" s="50">
        <f t="shared" si="24"/>
        <v>3627972.2299999995</v>
      </c>
      <c r="I79" s="50">
        <f t="shared" si="24"/>
        <v>30934827.779999994</v>
      </c>
      <c r="J79" s="50">
        <f t="shared" si="24"/>
        <v>3526164.2199999997</v>
      </c>
      <c r="K79" s="50">
        <f t="shared" si="24"/>
        <v>3655619.439999994</v>
      </c>
      <c r="L79" s="50">
        <f t="shared" si="24"/>
        <v>176001.29699999094</v>
      </c>
      <c r="M79" s="43">
        <f t="shared" si="16"/>
        <v>-24066462.793000013</v>
      </c>
      <c r="N79" s="43">
        <f t="shared" si="17"/>
        <v>-101808.00999999978</v>
      </c>
      <c r="O79" s="49">
        <f t="shared" si="19"/>
        <v>1.134007534032419</v>
      </c>
      <c r="P79" s="49">
        <f>_xlfn.IFERROR(I79/G79,"")</f>
        <v>1.0057219769778039</v>
      </c>
      <c r="Q79" s="49">
        <f t="shared" si="21"/>
        <v>0.562438216589518</v>
      </c>
    </row>
    <row r="80" spans="1:17" ht="15.75">
      <c r="A80" s="20" t="s">
        <v>101</v>
      </c>
      <c r="B80" s="21"/>
      <c r="C80" s="96"/>
      <c r="D80" s="22"/>
      <c r="E80" s="23"/>
      <c r="F80" s="23"/>
      <c r="G80" s="23"/>
      <c r="H80" s="23"/>
      <c r="I80" s="65"/>
      <c r="J80" s="65"/>
      <c r="K80" s="23"/>
      <c r="L80" s="23"/>
      <c r="M80" s="23"/>
      <c r="N80" s="23"/>
      <c r="O80" s="24"/>
      <c r="P80" s="25"/>
      <c r="Q80" s="24"/>
    </row>
  </sheetData>
  <sheetProtection/>
  <autoFilter ref="A4:Q81"/>
  <mergeCells count="36">
    <mergeCell ref="A27:A29"/>
    <mergeCell ref="B27:B29"/>
    <mergeCell ref="I3:J3"/>
    <mergeCell ref="K3:N3"/>
    <mergeCell ref="O3:O4"/>
    <mergeCell ref="A23:A26"/>
    <mergeCell ref="B23:B26"/>
    <mergeCell ref="A6:A17"/>
    <mergeCell ref="A22:C22"/>
    <mergeCell ref="A58:A59"/>
    <mergeCell ref="B58:B59"/>
    <mergeCell ref="A30:A37"/>
    <mergeCell ref="B30:B37"/>
    <mergeCell ref="A38:A47"/>
    <mergeCell ref="B38:B47"/>
    <mergeCell ref="A48:A49"/>
    <mergeCell ref="B48:B49"/>
    <mergeCell ref="A55:A57"/>
    <mergeCell ref="B55:B57"/>
    <mergeCell ref="B50:B54"/>
    <mergeCell ref="A50:A54"/>
    <mergeCell ref="A1:Q1"/>
    <mergeCell ref="A3:A4"/>
    <mergeCell ref="B3:B4"/>
    <mergeCell ref="C3:C4"/>
    <mergeCell ref="D3:D4"/>
    <mergeCell ref="E3:E4"/>
    <mergeCell ref="F3:H3"/>
    <mergeCell ref="P3:P4"/>
    <mergeCell ref="Q3:Q4"/>
    <mergeCell ref="A79:D79"/>
    <mergeCell ref="A60:A68"/>
    <mergeCell ref="B60:B68"/>
    <mergeCell ref="A69:D69"/>
    <mergeCell ref="A70:A78"/>
    <mergeCell ref="B70:B78"/>
  </mergeCells>
  <printOptions/>
  <pageMargins left="0" right="0" top="0.7480314960629921" bottom="0.4330708661417323" header="0.196850393700787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Юрьева Ольга Ивановна</cp:lastModifiedBy>
  <cp:lastPrinted>2023-09-06T09:30:54Z</cp:lastPrinted>
  <dcterms:created xsi:type="dcterms:W3CDTF">2015-02-26T11:08:47Z</dcterms:created>
  <dcterms:modified xsi:type="dcterms:W3CDTF">2023-09-06T09:32:16Z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