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activeTab="0"/>
  </bookViews>
  <sheets>
    <sheet name="12.02.2024" sheetId="1" r:id="rId1"/>
  </sheets>
  <definedNames>
    <definedName name="_xlfn.IFERROR" hidden="1">#NAME?</definedName>
    <definedName name="_xlnm._FilterDatabase" localSheetId="0" hidden="1">'12.02.2024'!$A$4:$Q$86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G_S1_D_C1?">#REF!</definedName>
    <definedName name="XDO_?G_S1_D_C2?">#REF!</definedName>
    <definedName name="XDO_?G_S1_D_C3?">#REF!</definedName>
    <definedName name="XDO_?G_S1_D_C4?">#REF!</definedName>
    <definedName name="XDO_?G_S1_D_C5?">#REF!</definedName>
    <definedName name="XDO_?G_S1_D_C6?">#REF!</definedName>
    <definedName name="XDO_?G_S1_D_C7?">#REF!</definedName>
    <definedName name="XDO_?G_S1_F_R4?">#REF!</definedName>
    <definedName name="XDO_?G_S1_F_R5?">#REF!</definedName>
    <definedName name="XDO_?G_S1_F_R6?">#REF!</definedName>
    <definedName name="XDO_?G_S1_GRF_C2?">#REF!</definedName>
    <definedName name="XDO_?G_S1_GRF_C4?">#REF!</definedName>
    <definedName name="XDO_?G_S1_GRF_C5?">#REF!</definedName>
    <definedName name="XDO_?G_S1_GRF_C6?">#REF!</definedName>
    <definedName name="XDO_?G_S2_D_C1?">#REF!</definedName>
    <definedName name="XDO_?G_S2_D_C2?">#REF!</definedName>
    <definedName name="XDO_?G_S2_D_C3?">#REF!</definedName>
    <definedName name="XDO_?G_S2_D_C4?">#REF!</definedName>
    <definedName name="XDO_?G_S2_D_C5?">#REF!</definedName>
    <definedName name="XDO_?G_S2_D_C6?">#REF!</definedName>
    <definedName name="XDO_?G_S2_D_C7?">#REF!</definedName>
    <definedName name="XDO_?G_S2_F_R4?">#REF!</definedName>
    <definedName name="XDO_?G_S2_F_R5?">#REF!</definedName>
    <definedName name="XDO_?G_S2_F_R6?">#REF!</definedName>
    <definedName name="XDO_?G_S2_GRF_C2?">#REF!</definedName>
    <definedName name="XDO_?G_S2_GRF_C4?">#REF!</definedName>
    <definedName name="XDO_?G_S2_GRF_C5?">#REF!</definedName>
    <definedName name="XDO_?G_S2_GRF_C6?">#REF!</definedName>
    <definedName name="XDO_?G_S3_D_C1?">#REF!</definedName>
    <definedName name="XDO_?G_S3_D_C2?">#REF!</definedName>
    <definedName name="XDO_?G_S3_D_C3?">#REF!</definedName>
    <definedName name="XDO_?G_S3_D_C4?">#REF!</definedName>
    <definedName name="XDO_?G_S3_D_C5?">#REF!</definedName>
    <definedName name="XDO_?G_S3_D_C6?">#REF!</definedName>
    <definedName name="XDO_?G_S3_D_C7?">#REF!</definedName>
    <definedName name="XDO_?G_S3_F_R4?">#REF!</definedName>
    <definedName name="XDO_?G_S3_F_R5?">#REF!</definedName>
    <definedName name="XDO_?G_S3_F_R6?">#REF!</definedName>
    <definedName name="XDO_?G_S3_GRF_C2?">#REF!</definedName>
    <definedName name="XDO_?G_S3_GRF_C4?">#REF!</definedName>
    <definedName name="XDO_?G_S3_GRF_C5?">#REF!</definedName>
    <definedName name="XDO_?G_S3_GRF_C6?">#REF!</definedName>
    <definedName name="XDO_?H_BS_UFK?">#REF!</definedName>
    <definedName name="XDO_?H_BUDGET_NAME?">#REF!</definedName>
    <definedName name="XDO_?H_EXECUTOR?">#REF!</definedName>
    <definedName name="XDO_?H_FO_NAME?">#REF!</definedName>
    <definedName name="XDO_?H_LAST_REPORT_DATE?">#REF!</definedName>
    <definedName name="XDO_?H_OKPO?">#REF!</definedName>
    <definedName name="XDO_?H_REPORT_DATE?">#REF!</definedName>
    <definedName name="XDO_?H_REPORT_DATE_TEXT?">#REF!</definedName>
    <definedName name="XDO_?H_REPORT_NUMBER?">#REF!</definedName>
    <definedName name="XDO_?H_TOFK_CODE?">#REF!</definedName>
    <definedName name="XDO_?H_TOFK_NAME?">#REF!</definedName>
    <definedName name="XDO_?OKATO?">#REF!</definedName>
    <definedName name="XDO_?OKPO?">#REF!</definedName>
    <definedName name="XDO_?OPER_SIGNATURE5?">#REF!</definedName>
    <definedName name="XDO_?OPER_SIGNATURE6?">#REF!</definedName>
    <definedName name="XDO_?OPER_SIGNATURE7?">#REF!</definedName>
    <definedName name="XDO_?OPER_SIGNATURE8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XDO_GROUP_?LINE_G_S1_D?">#REF!</definedName>
    <definedName name="XDO_GROUP_?LINE_G_S1_D_B?">#REF!</definedName>
    <definedName name="XDO_GROUP_?LINE_G_S1_GRF?">#REF!</definedName>
    <definedName name="XDO_GROUP_?LINE_G_S2_D?">#REF!</definedName>
    <definedName name="XDO_GROUP_?LINE_G_S2_D_B?">#REF!</definedName>
    <definedName name="XDO_GROUP_?LINE_G_S2_GRF?">#REF!</definedName>
    <definedName name="XDO_GROUP_?LINE_G_S3_D?">#REF!</definedName>
    <definedName name="XDO_GROUP_?LINE_G_S3_D_B?">#REF!</definedName>
    <definedName name="XDO_GROUP_?LINE_G_S3_GRF?">#REF!</definedName>
    <definedName name="XDO_GROUP_?NULL_1?">#REF!</definedName>
    <definedName name="XDO_GROUP_?NULL_10?">#REF!</definedName>
    <definedName name="XDO_GROUP_?NULL_11?">#REF!</definedName>
    <definedName name="XDO_GROUP_?NULL_12?">#REF!</definedName>
    <definedName name="XDO_GROUP_?NULL_3?">#REF!</definedName>
    <definedName name="XDO_GROUP_?NULL_4?">#REF!</definedName>
    <definedName name="XDO_GROUP_?NULL_6?">#REF!</definedName>
    <definedName name="XDO_GROUP_?NULL_7?">#REF!</definedName>
    <definedName name="XDO_GROUP_?NULL_9?">#REF!</definedName>
    <definedName name="_xlnm.Print_Titles" localSheetId="0">'12.02.2024'!$3:$4</definedName>
    <definedName name="о">#REF!</definedName>
    <definedName name="_xlnm.Print_Area" localSheetId="0">'12.02.2024'!$A$1:$Q$83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<sst xmlns="http://schemas.openxmlformats.org/spreadsheetml/2006/main" count="135" uniqueCount="111">
  <si>
    <t>тыс. руб.</t>
  </si>
  <si>
    <t>Код адм.</t>
  </si>
  <si>
    <t xml:space="preserve">Администраторы, кураторы доходов    </t>
  </si>
  <si>
    <t>Вид дохода</t>
  </si>
  <si>
    <t>НАЛОГОВЫЕ ДОХОДЫ</t>
  </si>
  <si>
    <t>УВБ</t>
  </si>
  <si>
    <t>Акцизы по подакцизным товарам</t>
  </si>
  <si>
    <t>ИТОГО ПО АДМИНИСТРАТОРУ</t>
  </si>
  <si>
    <t>182</t>
  </si>
  <si>
    <t>ДЭиП</t>
  </si>
  <si>
    <t>НДФЛ</t>
  </si>
  <si>
    <t>ЕНВД</t>
  </si>
  <si>
    <t>Единый сельскохозяйственный налог</t>
  </si>
  <si>
    <t>ДЗО</t>
  </si>
  <si>
    <t>Налог на имущество физических лиц</t>
  </si>
  <si>
    <t xml:space="preserve">Земельный налог </t>
  </si>
  <si>
    <t>ДОБ</t>
  </si>
  <si>
    <t>Государственная пошлина (мировые судьи)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</si>
  <si>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</si>
  <si>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</si>
  <si>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</si>
  <si>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</si>
  <si>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</si>
  <si>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</si>
  <si>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</si>
  <si>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</si>
  <si>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</si>
  <si>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</si>
  <si>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</si>
  <si>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</si>
  <si>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</si>
  <si>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</si>
  <si>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</si>
  <si>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</si>
  <si>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</si>
  <si>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</si>
  <si>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</si>
  <si>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</si>
  <si>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</si>
  <si>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</si>
  <si>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</si>
  <si>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</si>
  <si>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</si>
  <si>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</si>
  <si>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</si>
  <si>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</si>
  <si>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</si>
  <si>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</si>
  <si>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Штрафы, санкции, возмещение ущерба</t>
  </si>
  <si>
    <t>УЖО</t>
  </si>
  <si>
    <t>Плата за найм</t>
  </si>
  <si>
    <t>Доходы от продажи квартир</t>
  </si>
  <si>
    <t>915, 048</t>
  </si>
  <si>
    <t>Уэкол.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</si>
  <si>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</si>
  <si>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</si>
  <si>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</si>
  <si>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</si>
  <si>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</si>
  <si>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</si>
  <si>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</si>
  <si>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</si>
  <si>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</si>
  <si>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</si>
  <si>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</si>
  <si>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</si>
  <si>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</si>
  <si>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</si>
  <si>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</si>
  <si>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</si>
  <si>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</si>
  <si>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</si>
  <si>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</si>
  <si>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</si>
  <si>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</si>
  <si>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</si>
  <si>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</si>
  <si>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</si>
  <si>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</si>
  <si>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</si>
  <si>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</si>
  <si>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</si>
  <si>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</si>
  <si>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УСН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</si>
  <si>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</si>
  <si>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</si>
  <si>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</si>
  <si>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</si>
  <si>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>Инициативные платежи</t>
  </si>
  <si>
    <t>Исполн. плана года</t>
  </si>
  <si>
    <t>Плата за фактическое пользование</t>
  </si>
  <si>
    <t>Исполн. плана месяца</t>
  </si>
  <si>
    <t>Доходы от продажи земельных участков, находящихся в собственности городских округов</t>
  </si>
  <si>
    <t>Плата за увеличение площади земельных участков в результате перераспределения, находящихся в собственности городских округов</t>
  </si>
  <si>
    <t>Восстановительная стоимость зеленых насаждений</t>
  </si>
  <si>
    <t>ОТКЛОНЕНИЕ</t>
  </si>
  <si>
    <r>
      <t>Оперативный анализ  поступления доходов бюджета города Перми в 2024 году</t>
    </r>
    <r>
      <rPr>
        <sz val="16"/>
        <rFont val="Times New Roman"/>
        <family val="1"/>
      </rPr>
      <t xml:space="preserve"> </t>
    </r>
  </si>
  <si>
    <t xml:space="preserve">ПЛАН на 2024 год </t>
  </si>
  <si>
    <t>ФАКТ 2024 года</t>
  </si>
  <si>
    <t>факта 2024 года от факта 2023 года</t>
  </si>
  <si>
    <t>факта 2024г.                от плана 2024г.</t>
  </si>
  <si>
    <t>% факт 2024г./ факт 2023г.</t>
  </si>
  <si>
    <t>январь-февраль</t>
  </si>
  <si>
    <t>факта отч.пер. от плана отч.пер.</t>
  </si>
  <si>
    <t>февраль</t>
  </si>
  <si>
    <t>Февраль</t>
  </si>
  <si>
    <t>факта за февраль от плана февраля</t>
  </si>
  <si>
    <t>Исполн. плана отч. периода</t>
  </si>
  <si>
    <t>Факт с нач. 2023 года       по 09.02.2023</t>
  </si>
  <si>
    <r>
      <t>с нач. года на 12.02.2024 (по 09.02.2024</t>
    </r>
    <r>
      <rPr>
        <sz val="12"/>
        <rFont val="Times New Roman"/>
        <family val="1"/>
      </rPr>
      <t xml:space="preserve"> вкл.) </t>
    </r>
  </si>
  <si>
    <t xml:space="preserve">2024 год   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</si>
</sst>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0.000"/>
    <numFmt numFmtId="168" formatCode="0.0"/>
    <numFmt numFmtId="169" formatCode="dd/mm/yyyy\ hh:mm"/>
  </numFmts>
  <fonts count="47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sz val="10"/>
      <color indexed="45"/>
      <name val="Arial Cyr"/>
      <family val="0"/>
    </font>
    <font>
      <sz val="16"/>
      <name val="Times New Roman"/>
      <family val="1"/>
    </font>
    <font>
      <sz val="16"/>
      <color indexed="45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/>
    </xf>
    <xf numFmtId="166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5" fontId="4" fillId="0" borderId="10" xfId="0" applyNumberFormat="1" applyFont="1" applyFill="1" applyBorder="1" applyAlignment="1">
      <alignment wrapText="1"/>
    </xf>
    <xf numFmtId="165" fontId="6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5" fontId="7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right" wrapText="1"/>
    </xf>
    <xf numFmtId="168" fontId="45" fillId="0" borderId="0" xfId="0" applyNumberFormat="1" applyFont="1" applyFill="1" applyAlignment="1">
      <alignment horizontal="left"/>
    </xf>
    <xf numFmtId="168" fontId="45" fillId="0" borderId="0" xfId="0" applyNumberFormat="1" applyFont="1" applyFill="1" applyAlignment="1">
      <alignment/>
    </xf>
    <xf numFmtId="164" fontId="45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left"/>
    </xf>
    <xf numFmtId="168" fontId="0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wrapText="1"/>
    </xf>
    <xf numFmtId="164" fontId="9" fillId="0" borderId="12" xfId="0" applyNumberFormat="1" applyFont="1" applyFill="1" applyBorder="1" applyAlignment="1">
      <alignment horizontal="center" wrapText="1"/>
    </xf>
    <xf numFmtId="168" fontId="9" fillId="0" borderId="12" xfId="0" applyNumberFormat="1" applyFont="1" applyFill="1" applyBorder="1" applyAlignment="1">
      <alignment horizontal="center" wrapText="1"/>
    </xf>
    <xf numFmtId="168" fontId="46" fillId="0" borderId="12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168" fontId="3" fillId="0" borderId="13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6" fontId="6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6" fontId="6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166" fontId="6" fillId="0" borderId="11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wrapText="1"/>
    </xf>
    <xf numFmtId="168" fontId="46" fillId="0" borderId="12" xfId="0" applyNumberFormat="1" applyFont="1" applyFill="1" applyBorder="1" applyAlignment="1">
      <alignment horizontal="center" wrapText="1"/>
    </xf>
    <xf numFmtId="168" fontId="3" fillId="0" borderId="13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64" fontId="3" fillId="0" borderId="10" xfId="0" applyNumberFormat="1" applyFont="1" applyFill="1" applyBorder="1" applyAlignment="1">
      <alignment horizontal="right" wrapText="1"/>
    </xf>
    <xf numFmtId="165" fontId="4" fillId="0" borderId="10" xfId="0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9" fontId="3" fillId="0" borderId="10" xfId="161" applyFont="1" applyFill="1" applyBorder="1" applyAlignment="1" applyProtection="1">
      <alignment horizontal="center" vertical="top" wrapText="1"/>
      <protection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3" fillId="0" borderId="11" xfId="161" applyFont="1" applyFill="1" applyBorder="1" applyAlignment="1" applyProtection="1">
      <alignment horizontal="center" vertical="top" wrapText="1"/>
      <protection/>
    </xf>
    <xf numFmtId="9" fontId="3" fillId="0" borderId="15" xfId="16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68" fontId="3" fillId="0" borderId="16" xfId="0" applyNumberFormat="1" applyFont="1" applyFill="1" applyBorder="1" applyAlignment="1">
      <alignment horizontal="center" vertical="center" wrapText="1"/>
    </xf>
    <xf numFmtId="168" fontId="3" fillId="0" borderId="17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1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78" xfId="136"/>
    <cellStyle name="Обычный 79" xfId="137"/>
    <cellStyle name="Обычный 8" xfId="138"/>
    <cellStyle name="Обычный 80" xfId="139"/>
    <cellStyle name="Обычный 81" xfId="140"/>
    <cellStyle name="Обычный 82" xfId="141"/>
    <cellStyle name="Обычный 83" xfId="142"/>
    <cellStyle name="Обычный 84" xfId="143"/>
    <cellStyle name="Обычный 85" xfId="144"/>
    <cellStyle name="Обычный 86" xfId="145"/>
    <cellStyle name="Обычный 87" xfId="146"/>
    <cellStyle name="Обычный 88" xfId="147"/>
    <cellStyle name="Обычный 89" xfId="148"/>
    <cellStyle name="Обычный 9" xfId="149"/>
    <cellStyle name="Обычный 90" xfId="150"/>
    <cellStyle name="Обычный 91" xfId="151"/>
    <cellStyle name="Обычный 92" xfId="152"/>
    <cellStyle name="Обычный 93" xfId="153"/>
    <cellStyle name="Обычный 94" xfId="154"/>
    <cellStyle name="Обычный 95" xfId="155"/>
    <cellStyle name="Обычный 96" xfId="156"/>
    <cellStyle name="Плохой" xfId="157"/>
    <cellStyle name="Пояснение" xfId="158"/>
    <cellStyle name="Примечание" xfId="159"/>
    <cellStyle name="Percent" xfId="160"/>
    <cellStyle name="Процентный 2" xfId="161"/>
    <cellStyle name="Процентный 2 2" xfId="162"/>
    <cellStyle name="Связанная ячейка" xfId="163"/>
    <cellStyle name="Текст предупреждения" xfId="164"/>
    <cellStyle name="Comma" xfId="165"/>
    <cellStyle name="Comma [0]" xfId="166"/>
    <cellStyle name="Финансовый 2" xfId="167"/>
    <cellStyle name="Финансовый 3" xfId="168"/>
    <cellStyle name="Хороший" xfId="1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tabSelected="1" zoomScale="90" zoomScaleNormal="90" zoomScalePageLayoutView="0" workbookViewId="0" topLeftCell="A1">
      <pane xSplit="3" ySplit="4" topLeftCell="G6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C32" sqref="AC32"/>
    </sheetView>
  </sheetViews>
  <sheetFormatPr defaultColWidth="9.00390625" defaultRowHeight="12.75"/>
  <cols>
    <col min="1" max="1" width="8.875" style="17" customWidth="1"/>
    <col min="2" max="2" width="10.75390625" style="17" customWidth="1"/>
    <col min="3" max="3" width="64.375" style="17" customWidth="1"/>
    <col min="4" max="4" width="15.75390625" style="20" customWidth="1"/>
    <col min="5" max="6" width="14.375" style="17" customWidth="1"/>
    <col min="7" max="7" width="15.25390625" style="20" customWidth="1"/>
    <col min="8" max="8" width="17.125" style="60" customWidth="1"/>
    <col min="9" max="9" width="14.125" style="60" customWidth="1"/>
    <col min="10" max="11" width="16.00390625" style="41" customWidth="1"/>
    <col min="12" max="12" width="15.875" style="17" customWidth="1"/>
    <col min="13" max="13" width="15.25390625" style="17" customWidth="1"/>
    <col min="14" max="14" width="11.625" style="17" customWidth="1"/>
    <col min="15" max="16" width="13.375" style="17" customWidth="1"/>
    <col min="17" max="17" width="12.75390625" style="17" customWidth="1"/>
    <col min="18" max="16384" width="9.125" style="17" customWidth="1"/>
  </cols>
  <sheetData>
    <row r="1" spans="1:17" ht="20.25" customHeight="1">
      <c r="A1" s="133" t="s">
        <v>96</v>
      </c>
      <c r="B1" s="133"/>
      <c r="C1" s="133"/>
      <c r="D1" s="134"/>
      <c r="E1" s="133"/>
      <c r="F1" s="133"/>
      <c r="G1" s="134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20.25" customHeight="1">
      <c r="A2" s="13"/>
      <c r="B2" s="61"/>
      <c r="C2" s="62"/>
      <c r="D2" s="63"/>
      <c r="E2" s="62"/>
      <c r="F2" s="103"/>
      <c r="G2" s="63"/>
      <c r="H2" s="64"/>
      <c r="I2" s="65"/>
      <c r="J2" s="65"/>
      <c r="K2" s="110"/>
      <c r="L2" s="62"/>
      <c r="M2" s="62"/>
      <c r="N2" s="66"/>
      <c r="O2" s="66"/>
      <c r="P2" s="66"/>
      <c r="Q2" s="12" t="s">
        <v>0</v>
      </c>
    </row>
    <row r="3" spans="1:17" ht="20.25" customHeight="1">
      <c r="A3" s="135" t="s">
        <v>1</v>
      </c>
      <c r="B3" s="120" t="s">
        <v>2</v>
      </c>
      <c r="C3" s="136" t="s">
        <v>3</v>
      </c>
      <c r="D3" s="143" t="s">
        <v>108</v>
      </c>
      <c r="E3" s="138" t="s">
        <v>97</v>
      </c>
      <c r="F3" s="139"/>
      <c r="G3" s="140"/>
      <c r="H3" s="160" t="s">
        <v>98</v>
      </c>
      <c r="I3" s="161"/>
      <c r="J3" s="67"/>
      <c r="K3" s="111"/>
      <c r="L3" s="162" t="s">
        <v>95</v>
      </c>
      <c r="M3" s="140"/>
      <c r="N3" s="145" t="s">
        <v>101</v>
      </c>
      <c r="O3" s="142" t="s">
        <v>91</v>
      </c>
      <c r="P3" s="146" t="s">
        <v>107</v>
      </c>
      <c r="Q3" s="141" t="s">
        <v>89</v>
      </c>
    </row>
    <row r="4" spans="1:17" ht="61.5" customHeight="1">
      <c r="A4" s="135"/>
      <c r="B4" s="120"/>
      <c r="C4" s="137"/>
      <c r="D4" s="144"/>
      <c r="E4" s="68" t="s">
        <v>110</v>
      </c>
      <c r="F4" s="102" t="s">
        <v>102</v>
      </c>
      <c r="G4" s="68" t="s">
        <v>104</v>
      </c>
      <c r="H4" s="69" t="s">
        <v>109</v>
      </c>
      <c r="I4" s="68" t="s">
        <v>105</v>
      </c>
      <c r="J4" s="70" t="s">
        <v>99</v>
      </c>
      <c r="K4" s="102" t="s">
        <v>103</v>
      </c>
      <c r="L4" s="68" t="s">
        <v>100</v>
      </c>
      <c r="M4" s="68" t="s">
        <v>106</v>
      </c>
      <c r="N4" s="145"/>
      <c r="O4" s="142"/>
      <c r="P4" s="147"/>
      <c r="Q4" s="141"/>
    </row>
    <row r="5" spans="1:17" s="50" customFormat="1" ht="25.5" customHeight="1">
      <c r="A5" s="55"/>
      <c r="B5" s="79"/>
      <c r="C5" s="56" t="s">
        <v>4</v>
      </c>
      <c r="D5" s="45">
        <f>D16+D18+D20+D17+D19</f>
        <v>924362.6299999999</v>
      </c>
      <c r="E5" s="45">
        <f>E16+E18+E20+E17+E19</f>
        <v>21747223.4</v>
      </c>
      <c r="F5" s="45">
        <f>F16+F18+F20+F17+F19</f>
        <v>2751659.4</v>
      </c>
      <c r="G5" s="45">
        <f>G16+G18+G20+G17+G19</f>
        <v>1661698.7000000002</v>
      </c>
      <c r="H5" s="45">
        <f>H16+H18+H20+H17+H19</f>
        <v>1249579.6900000002</v>
      </c>
      <c r="I5" s="45">
        <f>I16+I18+I20+I17+I19</f>
        <v>344657.11999999994</v>
      </c>
      <c r="J5" s="46">
        <f aca="true" t="shared" si="0" ref="J5:J36">H5-D5</f>
        <v>325217.0600000003</v>
      </c>
      <c r="K5" s="104">
        <f>H5-F5</f>
        <v>-1502079.7099999997</v>
      </c>
      <c r="L5" s="46">
        <f>H5-E5</f>
        <v>-20497643.709999997</v>
      </c>
      <c r="M5" s="46">
        <f>I5-G5</f>
        <v>-1317041.5800000003</v>
      </c>
      <c r="N5" s="57">
        <f aca="true" t="shared" si="1" ref="N5:N36">_xlfn.IFERROR(H5/D5,"")</f>
        <v>1.3518284377203786</v>
      </c>
      <c r="O5" s="57">
        <f>_xlfn.IFERROR(I5/G5,"")</f>
        <v>0.20741252310060776</v>
      </c>
      <c r="P5" s="57">
        <f>_xlfn.IFERROR(H5/F5,"")</f>
        <v>0.4541185911308646</v>
      </c>
      <c r="Q5" s="57">
        <f>_xlfn.IFERROR(H5/E5,"")</f>
        <v>0.05745927500795344</v>
      </c>
    </row>
    <row r="6" spans="1:18" ht="18" customHeight="1">
      <c r="A6" s="167" t="s">
        <v>8</v>
      </c>
      <c r="B6" s="51" t="s">
        <v>9</v>
      </c>
      <c r="C6" s="80" t="s">
        <v>10</v>
      </c>
      <c r="D6" s="36">
        <v>853047.81</v>
      </c>
      <c r="E6" s="36">
        <f>16497200.1</f>
        <v>16497200.1</v>
      </c>
      <c r="F6" s="105">
        <v>1927262.5</v>
      </c>
      <c r="G6" s="36">
        <v>1086299.6</v>
      </c>
      <c r="H6" s="36">
        <v>1017354.0000000002</v>
      </c>
      <c r="I6" s="36">
        <v>322963.15</v>
      </c>
      <c r="J6" s="36">
        <f t="shared" si="0"/>
        <v>164306.19000000018</v>
      </c>
      <c r="K6" s="112">
        <f aca="true" t="shared" si="2" ref="K6:K69">H6-F6</f>
        <v>-909908.4999999998</v>
      </c>
      <c r="L6" s="36">
        <f aca="true" t="shared" si="3" ref="L6:L36">H6-E6</f>
        <v>-15479846.1</v>
      </c>
      <c r="M6" s="36">
        <f aca="true" t="shared" si="4" ref="M6:M36">I6-G6</f>
        <v>-763336.4500000001</v>
      </c>
      <c r="N6" s="37">
        <f t="shared" si="1"/>
        <v>1.1926107635162913</v>
      </c>
      <c r="O6" s="37">
        <f aca="true" t="shared" si="5" ref="O6:O36">_xlfn.IFERROR(I6/G6,"")</f>
        <v>0.2973057800997073</v>
      </c>
      <c r="P6" s="78">
        <f aca="true" t="shared" si="6" ref="P6:P69">_xlfn.IFERROR(H6/F6,"")</f>
        <v>0.5278751597148806</v>
      </c>
      <c r="Q6" s="37">
        <f aca="true" t="shared" si="7" ref="Q6:Q44">_xlfn.IFERROR(H6/E6,"")</f>
        <v>0.061668282728776516</v>
      </c>
      <c r="R6" s="18"/>
    </row>
    <row r="7" spans="1:18" ht="18" customHeight="1">
      <c r="A7" s="130"/>
      <c r="B7" s="51" t="s">
        <v>5</v>
      </c>
      <c r="C7" s="81" t="s">
        <v>6</v>
      </c>
      <c r="D7" s="36">
        <v>8715.08</v>
      </c>
      <c r="E7" s="38">
        <v>79229.2</v>
      </c>
      <c r="F7" s="106">
        <v>9128.4</v>
      </c>
      <c r="G7" s="38">
        <v>6025</v>
      </c>
      <c r="H7" s="36">
        <v>6808.09</v>
      </c>
      <c r="I7" s="36">
        <v>123.27000000000001</v>
      </c>
      <c r="J7" s="38">
        <f t="shared" si="0"/>
        <v>-1906.9899999999998</v>
      </c>
      <c r="K7" s="112">
        <f t="shared" si="2"/>
        <v>-2320.3099999999995</v>
      </c>
      <c r="L7" s="38">
        <f t="shared" si="3"/>
        <v>-72421.11</v>
      </c>
      <c r="M7" s="38">
        <f t="shared" si="4"/>
        <v>-5901.73</v>
      </c>
      <c r="N7" s="37">
        <f t="shared" si="1"/>
        <v>0.7811850264139859</v>
      </c>
      <c r="O7" s="37">
        <f t="shared" si="5"/>
        <v>0.0204597510373444</v>
      </c>
      <c r="P7" s="78">
        <f t="shared" si="6"/>
        <v>0.745814162394286</v>
      </c>
      <c r="Q7" s="37">
        <f t="shared" si="7"/>
        <v>0.08592905141033862</v>
      </c>
      <c r="R7" s="18"/>
    </row>
    <row r="8" spans="1:18" ht="18" customHeight="1">
      <c r="A8" s="130"/>
      <c r="B8" s="51" t="s">
        <v>9</v>
      </c>
      <c r="C8" s="82" t="s">
        <v>83</v>
      </c>
      <c r="D8" s="36">
        <v>20366.48</v>
      </c>
      <c r="E8" s="35">
        <v>957429</v>
      </c>
      <c r="F8" s="105">
        <v>33329.5</v>
      </c>
      <c r="G8" s="35">
        <v>19148.6</v>
      </c>
      <c r="H8" s="36">
        <v>9546.85</v>
      </c>
      <c r="I8" s="36">
        <v>3928.49</v>
      </c>
      <c r="J8" s="36">
        <f t="shared" si="0"/>
        <v>-10819.63</v>
      </c>
      <c r="K8" s="112">
        <f t="shared" si="2"/>
        <v>-23782.65</v>
      </c>
      <c r="L8" s="36">
        <f t="shared" si="3"/>
        <v>-947882.15</v>
      </c>
      <c r="M8" s="36">
        <f t="shared" si="4"/>
        <v>-15220.109999999999</v>
      </c>
      <c r="N8" s="37">
        <f t="shared" si="1"/>
        <v>0.4687530687678971</v>
      </c>
      <c r="O8" s="37">
        <f t="shared" si="5"/>
        <v>0.2051580794418391</v>
      </c>
      <c r="P8" s="78">
        <f t="shared" si="6"/>
        <v>0.28643844042064837</v>
      </c>
      <c r="Q8" s="37">
        <f t="shared" si="7"/>
        <v>0.009971339911366795</v>
      </c>
      <c r="R8" s="18"/>
    </row>
    <row r="9" spans="1:18" ht="18" customHeight="1">
      <c r="A9" s="130"/>
      <c r="B9" s="51" t="s">
        <v>9</v>
      </c>
      <c r="C9" s="80" t="s">
        <v>11</v>
      </c>
      <c r="D9" s="36">
        <v>-3954.7</v>
      </c>
      <c r="E9" s="36">
        <v>0</v>
      </c>
      <c r="F9" s="105"/>
      <c r="G9" s="36"/>
      <c r="H9" s="36">
        <v>132.81</v>
      </c>
      <c r="I9" s="36">
        <v>129.10999999999999</v>
      </c>
      <c r="J9" s="36">
        <f t="shared" si="0"/>
        <v>4087.5099999999998</v>
      </c>
      <c r="K9" s="112">
        <f t="shared" si="2"/>
        <v>132.81</v>
      </c>
      <c r="L9" s="36">
        <f t="shared" si="3"/>
        <v>132.81</v>
      </c>
      <c r="M9" s="36">
        <f t="shared" si="4"/>
        <v>129.10999999999999</v>
      </c>
      <c r="N9" s="37">
        <f t="shared" si="1"/>
        <v>-0.033582825498773616</v>
      </c>
      <c r="O9" s="37">
        <f t="shared" si="5"/>
      </c>
      <c r="P9" s="78">
        <f t="shared" si="6"/>
      </c>
      <c r="Q9" s="37">
        <f t="shared" si="7"/>
      </c>
      <c r="R9" s="18"/>
    </row>
    <row r="10" spans="1:18" ht="18" customHeight="1">
      <c r="A10" s="130"/>
      <c r="B10" s="51" t="s">
        <v>9</v>
      </c>
      <c r="C10" s="80" t="s">
        <v>12</v>
      </c>
      <c r="D10" s="36">
        <v>-0.9</v>
      </c>
      <c r="E10" s="36">
        <v>792.3</v>
      </c>
      <c r="F10" s="105">
        <v>10</v>
      </c>
      <c r="G10" s="36">
        <v>10</v>
      </c>
      <c r="H10" s="36">
        <v>44.17</v>
      </c>
      <c r="I10" s="36">
        <v>0</v>
      </c>
      <c r="J10" s="36">
        <f t="shared" si="0"/>
        <v>45.07</v>
      </c>
      <c r="K10" s="112">
        <f t="shared" si="2"/>
        <v>34.17</v>
      </c>
      <c r="L10" s="36">
        <f t="shared" si="3"/>
        <v>-748.13</v>
      </c>
      <c r="M10" s="36">
        <f t="shared" si="4"/>
        <v>-10</v>
      </c>
      <c r="N10" s="37">
        <f t="shared" si="1"/>
        <v>-49.077777777777776</v>
      </c>
      <c r="O10" s="37">
        <f t="shared" si="5"/>
        <v>0</v>
      </c>
      <c r="P10" s="78">
        <f t="shared" si="6"/>
        <v>4.417</v>
      </c>
      <c r="Q10" s="37">
        <f t="shared" si="7"/>
        <v>0.05574908494257226</v>
      </c>
      <c r="R10" s="18"/>
    </row>
    <row r="11" spans="1:18" ht="18" customHeight="1">
      <c r="A11" s="130"/>
      <c r="B11" s="51" t="s">
        <v>9</v>
      </c>
      <c r="C11" s="80" t="s">
        <v>85</v>
      </c>
      <c r="D11" s="36">
        <v>-15252.300000000001</v>
      </c>
      <c r="E11" s="36">
        <v>354934.4</v>
      </c>
      <c r="F11" s="105">
        <v>189059.3</v>
      </c>
      <c r="G11" s="36">
        <v>2000</v>
      </c>
      <c r="H11" s="36">
        <v>161046.78</v>
      </c>
      <c r="I11" s="36">
        <v>-1799.71</v>
      </c>
      <c r="J11" s="36">
        <f t="shared" si="0"/>
        <v>176299.08</v>
      </c>
      <c r="K11" s="112">
        <f t="shared" si="2"/>
        <v>-28012.51999999999</v>
      </c>
      <c r="L11" s="36">
        <f t="shared" si="3"/>
        <v>-193887.62000000002</v>
      </c>
      <c r="M11" s="36">
        <f t="shared" si="4"/>
        <v>-3799.71</v>
      </c>
      <c r="N11" s="37">
        <f t="shared" si="1"/>
        <v>-10.558852107550992</v>
      </c>
      <c r="O11" s="37">
        <f t="shared" si="5"/>
        <v>-0.8998550000000001</v>
      </c>
      <c r="P11" s="78">
        <f t="shared" si="6"/>
        <v>0.851832097125082</v>
      </c>
      <c r="Q11" s="37">
        <f t="shared" si="7"/>
        <v>0.4537367468467412</v>
      </c>
      <c r="R11" s="18"/>
    </row>
    <row r="12" spans="1:18" ht="18" customHeight="1">
      <c r="A12" s="130"/>
      <c r="B12" s="51" t="s">
        <v>13</v>
      </c>
      <c r="C12" s="80" t="s">
        <v>14</v>
      </c>
      <c r="D12" s="36">
        <v>27675.85</v>
      </c>
      <c r="E12" s="36">
        <v>1250550.2</v>
      </c>
      <c r="F12" s="105">
        <v>40000</v>
      </c>
      <c r="G12" s="36">
        <v>15000</v>
      </c>
      <c r="H12" s="36">
        <v>34367.12</v>
      </c>
      <c r="I12" s="36">
        <v>6275.5599999999995</v>
      </c>
      <c r="J12" s="36">
        <f t="shared" si="0"/>
        <v>6691.270000000004</v>
      </c>
      <c r="K12" s="112">
        <f t="shared" si="2"/>
        <v>-5632.879999999997</v>
      </c>
      <c r="L12" s="36">
        <f t="shared" si="3"/>
        <v>-1216183.0799999998</v>
      </c>
      <c r="M12" s="36">
        <f t="shared" si="4"/>
        <v>-8724.44</v>
      </c>
      <c r="N12" s="37">
        <f t="shared" si="1"/>
        <v>1.2417728814110498</v>
      </c>
      <c r="O12" s="37">
        <f t="shared" si="5"/>
        <v>0.4183706666666666</v>
      </c>
      <c r="P12" s="78">
        <f t="shared" si="6"/>
        <v>0.8591780000000001</v>
      </c>
      <c r="Q12" s="37">
        <f t="shared" si="7"/>
        <v>0.02748159969907646</v>
      </c>
      <c r="R12" s="18"/>
    </row>
    <row r="13" spans="1:18" ht="18" customHeight="1">
      <c r="A13" s="130"/>
      <c r="B13" s="51" t="s">
        <v>13</v>
      </c>
      <c r="C13" s="80" t="s">
        <v>15</v>
      </c>
      <c r="D13" s="36">
        <v>17927</v>
      </c>
      <c r="E13" s="36">
        <v>2382735.3000000003</v>
      </c>
      <c r="F13" s="105">
        <v>522725</v>
      </c>
      <c r="G13" s="36">
        <v>515123</v>
      </c>
      <c r="H13" s="36">
        <v>545.4500000000007</v>
      </c>
      <c r="I13" s="36">
        <v>6736.540000000001</v>
      </c>
      <c r="J13" s="36">
        <f t="shared" si="0"/>
        <v>-17381.55</v>
      </c>
      <c r="K13" s="112">
        <f t="shared" si="2"/>
        <v>-522179.55</v>
      </c>
      <c r="L13" s="36">
        <f t="shared" si="3"/>
        <v>-2382189.85</v>
      </c>
      <c r="M13" s="36">
        <f t="shared" si="4"/>
        <v>-508386.46</v>
      </c>
      <c r="N13" s="37">
        <f t="shared" si="1"/>
        <v>0.030426172811959654</v>
      </c>
      <c r="O13" s="37">
        <f t="shared" si="5"/>
        <v>0.013077536821302875</v>
      </c>
      <c r="P13" s="78">
        <f t="shared" si="6"/>
        <v>0.0010434741020613147</v>
      </c>
      <c r="Q13" s="37">
        <f t="shared" si="7"/>
        <v>0.000228917580563817</v>
      </c>
      <c r="R13" s="18"/>
    </row>
    <row r="14" spans="1:18" ht="18" customHeight="1">
      <c r="A14" s="130"/>
      <c r="B14" s="51" t="s">
        <v>16</v>
      </c>
      <c r="C14" s="80" t="s">
        <v>17</v>
      </c>
      <c r="D14" s="36">
        <v>15779.35</v>
      </c>
      <c r="E14" s="36">
        <v>223881.6</v>
      </c>
      <c r="F14" s="105">
        <v>30070.4</v>
      </c>
      <c r="G14" s="36">
        <v>18052.9</v>
      </c>
      <c r="H14" s="36">
        <v>19716.42</v>
      </c>
      <c r="I14" s="36">
        <v>6290.110000000001</v>
      </c>
      <c r="J14" s="36">
        <f t="shared" si="0"/>
        <v>3937.069999999998</v>
      </c>
      <c r="K14" s="112">
        <f t="shared" si="2"/>
        <v>-10353.980000000003</v>
      </c>
      <c r="L14" s="36">
        <f t="shared" si="3"/>
        <v>-204165.18</v>
      </c>
      <c r="M14" s="36">
        <f t="shared" si="4"/>
        <v>-11762.79</v>
      </c>
      <c r="N14" s="37">
        <f t="shared" si="1"/>
        <v>1.2495077427143702</v>
      </c>
      <c r="O14" s="37">
        <f t="shared" si="5"/>
        <v>0.34842656858454873</v>
      </c>
      <c r="P14" s="78">
        <f t="shared" si="6"/>
        <v>0.6556753485154836</v>
      </c>
      <c r="Q14" s="37">
        <f t="shared" si="7"/>
        <v>0.08806628146305903</v>
      </c>
      <c r="R14" s="18"/>
    </row>
    <row r="15" spans="1:18" ht="18" customHeight="1">
      <c r="A15" s="130"/>
      <c r="B15" s="51" t="s">
        <v>13</v>
      </c>
      <c r="C15" s="80" t="s">
        <v>18</v>
      </c>
      <c r="D15" s="36">
        <v>-2.04</v>
      </c>
      <c r="E15" s="36">
        <v>0</v>
      </c>
      <c r="F15" s="105"/>
      <c r="G15" s="36">
        <v>0</v>
      </c>
      <c r="H15" s="36">
        <v>0</v>
      </c>
      <c r="I15" s="36">
        <v>0</v>
      </c>
      <c r="J15" s="36">
        <f t="shared" si="0"/>
        <v>2.04</v>
      </c>
      <c r="K15" s="112">
        <f t="shared" si="2"/>
        <v>0</v>
      </c>
      <c r="L15" s="36">
        <f t="shared" si="3"/>
        <v>0</v>
      </c>
      <c r="M15" s="36">
        <f t="shared" si="4"/>
        <v>0</v>
      </c>
      <c r="N15" s="37">
        <f t="shared" si="1"/>
        <v>0</v>
      </c>
      <c r="O15" s="37">
        <f t="shared" si="5"/>
      </c>
      <c r="P15" s="78">
        <f t="shared" si="6"/>
      </c>
      <c r="Q15" s="37">
        <f t="shared" si="7"/>
      </c>
      <c r="R15" s="18"/>
    </row>
    <row r="16" spans="1:18" ht="18" customHeight="1">
      <c r="A16" s="164"/>
      <c r="B16" s="71"/>
      <c r="C16" s="83" t="s">
        <v>7</v>
      </c>
      <c r="D16" s="72">
        <f>SUM(D6:D15)</f>
        <v>924301.6299999999</v>
      </c>
      <c r="E16" s="72">
        <f>SUM(E6:E15)</f>
        <v>21746752.099999998</v>
      </c>
      <c r="F16" s="72">
        <f>SUM(F6:F15)</f>
        <v>2751585.0999999996</v>
      </c>
      <c r="G16" s="72">
        <f>SUM(G6:G15)</f>
        <v>1661659.1</v>
      </c>
      <c r="H16" s="72">
        <f>SUM(H6:H15)</f>
        <v>1249561.6900000002</v>
      </c>
      <c r="I16" s="72">
        <f>SUM(I6:I15)</f>
        <v>344646.51999999996</v>
      </c>
      <c r="J16" s="72">
        <f t="shared" si="0"/>
        <v>325260.0600000003</v>
      </c>
      <c r="K16" s="112">
        <f t="shared" si="2"/>
        <v>-1502023.4099999995</v>
      </c>
      <c r="L16" s="72">
        <f t="shared" si="3"/>
        <v>-20497190.409999996</v>
      </c>
      <c r="M16" s="72">
        <f t="shared" si="4"/>
        <v>-1317012.58</v>
      </c>
      <c r="N16" s="73">
        <f t="shared" si="1"/>
        <v>1.3518981785199278</v>
      </c>
      <c r="O16" s="73">
        <f t="shared" si="5"/>
        <v>0.2074110869070557</v>
      </c>
      <c r="P16" s="78">
        <f t="shared" si="6"/>
        <v>0.454124311837566</v>
      </c>
      <c r="Q16" s="73">
        <f t="shared" si="7"/>
        <v>0.057459692567148925</v>
      </c>
      <c r="R16" s="18"/>
    </row>
    <row r="17" spans="1:18" ht="18" customHeight="1">
      <c r="A17" s="52" t="s">
        <v>70</v>
      </c>
      <c r="B17" s="51" t="s">
        <v>20</v>
      </c>
      <c r="C17" s="80" t="s">
        <v>21</v>
      </c>
      <c r="D17" s="36">
        <v>12</v>
      </c>
      <c r="E17" s="36">
        <v>88</v>
      </c>
      <c r="F17" s="105">
        <v>14.6</v>
      </c>
      <c r="G17" s="36">
        <v>7.3</v>
      </c>
      <c r="H17" s="36">
        <v>0</v>
      </c>
      <c r="I17" s="36">
        <v>0</v>
      </c>
      <c r="J17" s="36">
        <f t="shared" si="0"/>
        <v>-12</v>
      </c>
      <c r="K17" s="112">
        <f t="shared" si="2"/>
        <v>-14.6</v>
      </c>
      <c r="L17" s="36">
        <f t="shared" si="3"/>
        <v>-88</v>
      </c>
      <c r="M17" s="36">
        <f t="shared" si="4"/>
        <v>-7.3</v>
      </c>
      <c r="N17" s="37">
        <f t="shared" si="1"/>
        <v>0</v>
      </c>
      <c r="O17" s="37">
        <f t="shared" si="5"/>
        <v>0</v>
      </c>
      <c r="P17" s="78">
        <f t="shared" si="6"/>
        <v>0</v>
      </c>
      <c r="Q17" s="37">
        <f t="shared" si="7"/>
        <v>0</v>
      </c>
      <c r="R17" s="18"/>
    </row>
    <row r="18" spans="1:18" ht="18.75" customHeight="1">
      <c r="A18" s="97" t="s">
        <v>19</v>
      </c>
      <c r="B18" s="98" t="s">
        <v>20</v>
      </c>
      <c r="C18" s="96" t="s">
        <v>84</v>
      </c>
      <c r="D18" s="36">
        <v>18.4</v>
      </c>
      <c r="E18" s="36">
        <v>328.3</v>
      </c>
      <c r="F18" s="105">
        <v>54.7</v>
      </c>
      <c r="G18" s="36">
        <v>27.3</v>
      </c>
      <c r="H18" s="36">
        <v>6.3999999999999995</v>
      </c>
      <c r="I18" s="36">
        <v>5.6</v>
      </c>
      <c r="J18" s="36">
        <f t="shared" si="0"/>
        <v>-12</v>
      </c>
      <c r="K18" s="112">
        <f t="shared" si="2"/>
        <v>-48.300000000000004</v>
      </c>
      <c r="L18" s="36">
        <f t="shared" si="3"/>
        <v>-321.90000000000003</v>
      </c>
      <c r="M18" s="36">
        <f t="shared" si="4"/>
        <v>-21.700000000000003</v>
      </c>
      <c r="N18" s="37">
        <f t="shared" si="1"/>
        <v>0.34782608695652173</v>
      </c>
      <c r="O18" s="37">
        <f t="shared" si="5"/>
        <v>0.20512820512820512</v>
      </c>
      <c r="P18" s="78">
        <f t="shared" si="6"/>
        <v>0.11700182815356489</v>
      </c>
      <c r="Q18" s="37">
        <f t="shared" si="7"/>
        <v>0.01949436491014316</v>
      </c>
      <c r="R18" s="18"/>
    </row>
    <row r="19" spans="1:18" ht="35.25" customHeight="1">
      <c r="A19" s="53" t="s">
        <v>23</v>
      </c>
      <c r="B19" s="54" t="s">
        <v>72</v>
      </c>
      <c r="C19" s="80" t="s">
        <v>24</v>
      </c>
      <c r="D19" s="36">
        <v>25.6</v>
      </c>
      <c r="E19" s="36">
        <v>0</v>
      </c>
      <c r="F19" s="105">
        <v>0</v>
      </c>
      <c r="G19" s="36">
        <v>0</v>
      </c>
      <c r="H19" s="36">
        <v>1.6</v>
      </c>
      <c r="I19" s="36">
        <v>0</v>
      </c>
      <c r="J19" s="36">
        <f t="shared" si="0"/>
        <v>-24</v>
      </c>
      <c r="K19" s="112">
        <f t="shared" si="2"/>
        <v>1.6</v>
      </c>
      <c r="L19" s="36">
        <f t="shared" si="3"/>
        <v>1.6</v>
      </c>
      <c r="M19" s="36">
        <f t="shared" si="4"/>
        <v>0</v>
      </c>
      <c r="N19" s="37">
        <f t="shared" si="1"/>
        <v>0.0625</v>
      </c>
      <c r="O19" s="37">
        <f t="shared" si="5"/>
      </c>
      <c r="P19" s="78">
        <f t="shared" si="6"/>
      </c>
      <c r="Q19" s="37">
        <f t="shared" si="7"/>
      </c>
      <c r="R19" s="18"/>
    </row>
    <row r="20" spans="1:18" ht="18" customHeight="1">
      <c r="A20" s="52" t="s">
        <v>22</v>
      </c>
      <c r="B20" s="51" t="s">
        <v>9</v>
      </c>
      <c r="C20" s="80" t="s">
        <v>74</v>
      </c>
      <c r="D20" s="36">
        <v>5</v>
      </c>
      <c r="E20" s="36">
        <v>55</v>
      </c>
      <c r="F20" s="105">
        <v>5</v>
      </c>
      <c r="G20" s="36">
        <v>5</v>
      </c>
      <c r="H20" s="36">
        <v>10</v>
      </c>
      <c r="I20" s="36">
        <v>5</v>
      </c>
      <c r="J20" s="36">
        <f t="shared" si="0"/>
        <v>5</v>
      </c>
      <c r="K20" s="112">
        <f t="shared" si="2"/>
        <v>5</v>
      </c>
      <c r="L20" s="36">
        <f t="shared" si="3"/>
        <v>-45</v>
      </c>
      <c r="M20" s="36">
        <f t="shared" si="4"/>
        <v>0</v>
      </c>
      <c r="N20" s="37">
        <f t="shared" si="1"/>
        <v>2</v>
      </c>
      <c r="O20" s="37">
        <f t="shared" si="5"/>
        <v>1</v>
      </c>
      <c r="P20" s="78">
        <f t="shared" si="6"/>
        <v>2</v>
      </c>
      <c r="Q20" s="37">
        <f t="shared" si="7"/>
        <v>0.18181818181818182</v>
      </c>
      <c r="R20" s="18"/>
    </row>
    <row r="21" spans="1:18" s="50" customFormat="1" ht="28.5" customHeight="1">
      <c r="A21" s="168"/>
      <c r="B21" s="168"/>
      <c r="C21" s="47" t="s">
        <v>25</v>
      </c>
      <c r="D21" s="46">
        <f>D25+D28+D36+D48+D50+D55+D58+D61+D70</f>
        <v>761941.58</v>
      </c>
      <c r="E21" s="46">
        <f>E25+E28+E36+E48+E50+E55+E58+E61+E70</f>
        <v>6984364.5</v>
      </c>
      <c r="F21" s="46">
        <f>F25+F28+F36+F48+F50+F55+F58+F61+F70</f>
        <v>963301.4</v>
      </c>
      <c r="G21" s="46">
        <f>G25+G28+G36+G48+G50+G55+G58+G61+G70</f>
        <v>530167.8</v>
      </c>
      <c r="H21" s="46">
        <f>H25+H28+H36+H48+H50+H55+H58+H61+H70</f>
        <v>888349.2100000001</v>
      </c>
      <c r="I21" s="46">
        <f>I25+I28+I36+I48+I50+I55+I58+I61+I70</f>
        <v>393633.47</v>
      </c>
      <c r="J21" s="46">
        <f t="shared" si="0"/>
        <v>126407.63000000012</v>
      </c>
      <c r="K21" s="104">
        <f t="shared" si="2"/>
        <v>-74952.18999999994</v>
      </c>
      <c r="L21" s="46">
        <f t="shared" si="3"/>
        <v>-6096015.29</v>
      </c>
      <c r="M21" s="46">
        <f t="shared" si="4"/>
        <v>-136534.33000000007</v>
      </c>
      <c r="N21" s="57">
        <f t="shared" si="1"/>
        <v>1.1659019973683549</v>
      </c>
      <c r="O21" s="57">
        <f t="shared" si="5"/>
        <v>0.7424695917028532</v>
      </c>
      <c r="P21" s="57">
        <f t="shared" si="6"/>
        <v>0.9221923792491115</v>
      </c>
      <c r="Q21" s="57">
        <f t="shared" si="7"/>
        <v>0.12719112955802925</v>
      </c>
      <c r="R21" s="58"/>
    </row>
    <row r="22" spans="1:17" ht="18" customHeight="1">
      <c r="A22" s="163" t="s">
        <v>23</v>
      </c>
      <c r="B22" s="165" t="s">
        <v>72</v>
      </c>
      <c r="C22" s="21" t="s">
        <v>86</v>
      </c>
      <c r="D22" s="33">
        <v>14756.56</v>
      </c>
      <c r="E22" s="2">
        <v>209447.5</v>
      </c>
      <c r="F22" s="107">
        <v>31798.4</v>
      </c>
      <c r="G22" s="2">
        <v>16899.2</v>
      </c>
      <c r="H22" s="33">
        <v>20621.28</v>
      </c>
      <c r="I22" s="33">
        <v>6880.58</v>
      </c>
      <c r="J22" s="3">
        <f t="shared" si="0"/>
        <v>5864.719999999999</v>
      </c>
      <c r="K22" s="112">
        <f t="shared" si="2"/>
        <v>-11177.120000000003</v>
      </c>
      <c r="L22" s="3">
        <f t="shared" si="3"/>
        <v>-188826.22</v>
      </c>
      <c r="M22" s="3">
        <f t="shared" si="4"/>
        <v>-10018.62</v>
      </c>
      <c r="N22" s="15">
        <f t="shared" si="1"/>
        <v>1.3974313796711428</v>
      </c>
      <c r="O22" s="15">
        <f t="shared" si="5"/>
        <v>0.40715418481348226</v>
      </c>
      <c r="P22" s="78">
        <f t="shared" si="6"/>
        <v>0.6485005534869678</v>
      </c>
      <c r="Q22" s="15">
        <f t="shared" si="7"/>
        <v>0.09845560343284115</v>
      </c>
    </row>
    <row r="23" spans="1:17" ht="18" customHeight="1">
      <c r="A23" s="130"/>
      <c r="B23" s="126"/>
      <c r="C23" s="21" t="s">
        <v>26</v>
      </c>
      <c r="D23" s="33"/>
      <c r="E23" s="2">
        <v>4501.5</v>
      </c>
      <c r="F23" s="107">
        <v>0</v>
      </c>
      <c r="G23" s="2">
        <v>0</v>
      </c>
      <c r="H23" s="33">
        <v>1715</v>
      </c>
      <c r="I23" s="33">
        <v>0</v>
      </c>
      <c r="J23" s="3">
        <f t="shared" si="0"/>
        <v>1715</v>
      </c>
      <c r="K23" s="112">
        <f t="shared" si="2"/>
        <v>1715</v>
      </c>
      <c r="L23" s="3">
        <f t="shared" si="3"/>
        <v>-2786.5</v>
      </c>
      <c r="M23" s="3">
        <f t="shared" si="4"/>
        <v>0</v>
      </c>
      <c r="N23" s="15">
        <f t="shared" si="1"/>
      </c>
      <c r="O23" s="15">
        <f t="shared" si="5"/>
      </c>
      <c r="P23" s="78">
        <f t="shared" si="6"/>
      </c>
      <c r="Q23" s="15">
        <f t="shared" si="7"/>
        <v>0.38098411640564256</v>
      </c>
    </row>
    <row r="24" spans="1:17" ht="18" customHeight="1">
      <c r="A24" s="130"/>
      <c r="B24" s="126"/>
      <c r="C24" s="21" t="s">
        <v>48</v>
      </c>
      <c r="D24" s="33">
        <v>10050.3</v>
      </c>
      <c r="E24" s="2">
        <v>126183.1</v>
      </c>
      <c r="F24" s="107">
        <v>20464.6</v>
      </c>
      <c r="G24" s="2">
        <v>10294.6</v>
      </c>
      <c r="H24" s="33">
        <v>10198</v>
      </c>
      <c r="I24" s="33">
        <v>3610.26</v>
      </c>
      <c r="J24" s="3">
        <f t="shared" si="0"/>
        <v>147.70000000000073</v>
      </c>
      <c r="K24" s="112">
        <f t="shared" si="2"/>
        <v>-10266.599999999999</v>
      </c>
      <c r="L24" s="3">
        <f t="shared" si="3"/>
        <v>-115985.1</v>
      </c>
      <c r="M24" s="3">
        <f t="shared" si="4"/>
        <v>-6684.34</v>
      </c>
      <c r="N24" s="15">
        <f t="shared" si="1"/>
        <v>1.0146960787240182</v>
      </c>
      <c r="O24" s="15">
        <f t="shared" si="5"/>
        <v>0.3506945388844637</v>
      </c>
      <c r="P24" s="78">
        <f t="shared" si="6"/>
        <v>0.4983239349901782</v>
      </c>
      <c r="Q24" s="15">
        <f t="shared" si="7"/>
        <v>0.08081906372564947</v>
      </c>
    </row>
    <row r="25" spans="1:17" ht="18" customHeight="1">
      <c r="A25" s="164"/>
      <c r="B25" s="166"/>
      <c r="C25" s="83" t="s">
        <v>7</v>
      </c>
      <c r="D25" s="74">
        <f>SUM(D22:D24)</f>
        <v>24806.86</v>
      </c>
      <c r="E25" s="74">
        <f>SUM(E22:E24)</f>
        <v>340132.1</v>
      </c>
      <c r="F25" s="74">
        <f>SUM(F22:F24)</f>
        <v>52263</v>
      </c>
      <c r="G25" s="74">
        <f>SUM(G22:G24)</f>
        <v>27193.800000000003</v>
      </c>
      <c r="H25" s="74">
        <f>SUM(H22:H24)</f>
        <v>32534.28</v>
      </c>
      <c r="I25" s="74">
        <f>SUM(I22:I24)</f>
        <v>10490.84</v>
      </c>
      <c r="J25" s="74">
        <f t="shared" si="0"/>
        <v>7727.419999999998</v>
      </c>
      <c r="K25" s="112">
        <f t="shared" si="2"/>
        <v>-19728.72</v>
      </c>
      <c r="L25" s="74">
        <f t="shared" si="3"/>
        <v>-307597.81999999995</v>
      </c>
      <c r="M25" s="74">
        <f t="shared" si="4"/>
        <v>-16702.960000000003</v>
      </c>
      <c r="N25" s="26">
        <f t="shared" si="1"/>
        <v>1.3115033502829458</v>
      </c>
      <c r="O25" s="26">
        <f t="shared" si="5"/>
        <v>0.3857805823386213</v>
      </c>
      <c r="P25" s="78">
        <f t="shared" si="6"/>
        <v>0.6225107628723954</v>
      </c>
      <c r="Q25" s="26">
        <f t="shared" si="7"/>
        <v>0.09565189524893417</v>
      </c>
    </row>
    <row r="26" spans="1:17" ht="23.25" customHeight="1">
      <c r="A26" s="120">
        <v>951</v>
      </c>
      <c r="B26" s="120" t="s">
        <v>9</v>
      </c>
      <c r="C26" s="99" t="s">
        <v>27</v>
      </c>
      <c r="D26" s="33">
        <v>6804.84</v>
      </c>
      <c r="E26" s="2">
        <v>75335.1</v>
      </c>
      <c r="F26" s="107">
        <v>8391</v>
      </c>
      <c r="G26" s="2">
        <v>6278</v>
      </c>
      <c r="H26" s="33">
        <v>12602.4</v>
      </c>
      <c r="I26" s="33">
        <v>4395.7</v>
      </c>
      <c r="J26" s="2">
        <f t="shared" si="0"/>
        <v>5797.5599999999995</v>
      </c>
      <c r="K26" s="112">
        <f t="shared" si="2"/>
        <v>4211.4</v>
      </c>
      <c r="L26" s="2">
        <f t="shared" si="3"/>
        <v>-62732.700000000004</v>
      </c>
      <c r="M26" s="2">
        <f t="shared" si="4"/>
        <v>-1882.3000000000002</v>
      </c>
      <c r="N26" s="15">
        <f t="shared" si="1"/>
        <v>1.8519759465321741</v>
      </c>
      <c r="O26" s="15">
        <f t="shared" si="5"/>
        <v>0.7001752150366358</v>
      </c>
      <c r="P26" s="78">
        <f t="shared" si="6"/>
        <v>1.501894887379335</v>
      </c>
      <c r="Q26" s="15">
        <f t="shared" si="7"/>
        <v>0.16728457252993623</v>
      </c>
    </row>
    <row r="27" spans="1:17" ht="22.5" customHeight="1">
      <c r="A27" s="120"/>
      <c r="B27" s="120"/>
      <c r="C27" s="100" t="s">
        <v>28</v>
      </c>
      <c r="D27" s="33">
        <v>380.28</v>
      </c>
      <c r="E27" s="2">
        <v>13384.8</v>
      </c>
      <c r="F27" s="107">
        <v>377.3</v>
      </c>
      <c r="G27" s="2">
        <v>0</v>
      </c>
      <c r="H27" s="33">
        <v>1181.83</v>
      </c>
      <c r="I27" s="33">
        <v>299.72</v>
      </c>
      <c r="J27" s="2">
        <f t="shared" si="0"/>
        <v>801.55</v>
      </c>
      <c r="K27" s="112">
        <f t="shared" si="2"/>
        <v>804.53</v>
      </c>
      <c r="L27" s="2">
        <f t="shared" si="3"/>
        <v>-12202.97</v>
      </c>
      <c r="M27" s="2">
        <f t="shared" si="4"/>
        <v>299.72</v>
      </c>
      <c r="N27" s="15">
        <f t="shared" si="1"/>
        <v>3.1077889975807302</v>
      </c>
      <c r="O27" s="15">
        <f t="shared" si="5"/>
      </c>
      <c r="P27" s="78">
        <f t="shared" si="6"/>
        <v>3.1323350119268483</v>
      </c>
      <c r="Q27" s="15">
        <f t="shared" si="7"/>
        <v>0.0882964257964258</v>
      </c>
    </row>
    <row r="28" spans="1:17" ht="15.75">
      <c r="A28" s="120"/>
      <c r="B28" s="120"/>
      <c r="C28" s="85" t="s">
        <v>7</v>
      </c>
      <c r="D28" s="74">
        <f>D26+D27</f>
        <v>7185.12</v>
      </c>
      <c r="E28" s="74">
        <f>E26+E27</f>
        <v>88719.90000000001</v>
      </c>
      <c r="F28" s="74">
        <f>F26+F27</f>
        <v>8768.3</v>
      </c>
      <c r="G28" s="74">
        <f>G26+G27</f>
        <v>6278</v>
      </c>
      <c r="H28" s="74">
        <f>H26+H27</f>
        <v>13784.23</v>
      </c>
      <c r="I28" s="74">
        <f>I26+I27</f>
        <v>4695.42</v>
      </c>
      <c r="J28" s="74">
        <f t="shared" si="0"/>
        <v>6599.11</v>
      </c>
      <c r="K28" s="112">
        <f t="shared" si="2"/>
        <v>5015.93</v>
      </c>
      <c r="L28" s="74">
        <f t="shared" si="3"/>
        <v>-74935.67000000001</v>
      </c>
      <c r="M28" s="74">
        <f t="shared" si="4"/>
        <v>-1582.58</v>
      </c>
      <c r="N28" s="26">
        <f t="shared" si="1"/>
        <v>1.9184411673013115</v>
      </c>
      <c r="O28" s="26">
        <f t="shared" si="5"/>
        <v>0.7479165339280026</v>
      </c>
      <c r="P28" s="78">
        <f t="shared" si="6"/>
        <v>1.5720527354219176</v>
      </c>
      <c r="Q28" s="26">
        <f t="shared" si="7"/>
        <v>0.1553679614156463</v>
      </c>
    </row>
    <row r="29" spans="1:17" ht="18.75" customHeight="1">
      <c r="A29" s="148" t="s">
        <v>29</v>
      </c>
      <c r="B29" s="120" t="s">
        <v>30</v>
      </c>
      <c r="C29" s="21" t="s">
        <v>31</v>
      </c>
      <c r="D29" s="33"/>
      <c r="E29" s="2">
        <v>2640</v>
      </c>
      <c r="F29" s="107"/>
      <c r="G29" s="2">
        <v>0</v>
      </c>
      <c r="H29" s="33">
        <v>0</v>
      </c>
      <c r="I29" s="33">
        <v>0</v>
      </c>
      <c r="J29" s="2">
        <f t="shared" si="0"/>
        <v>0</v>
      </c>
      <c r="K29" s="112">
        <f t="shared" si="2"/>
        <v>0</v>
      </c>
      <c r="L29" s="2">
        <f t="shared" si="3"/>
        <v>-2640</v>
      </c>
      <c r="M29" s="2">
        <f t="shared" si="4"/>
        <v>0</v>
      </c>
      <c r="N29" s="15">
        <f t="shared" si="1"/>
      </c>
      <c r="O29" s="15">
        <f t="shared" si="5"/>
      </c>
      <c r="P29" s="78">
        <f t="shared" si="6"/>
      </c>
      <c r="Q29" s="15">
        <f t="shared" si="7"/>
        <v>0</v>
      </c>
    </row>
    <row r="30" spans="1:17" ht="17.25" customHeight="1">
      <c r="A30" s="148"/>
      <c r="B30" s="120"/>
      <c r="C30" s="86" t="s">
        <v>32</v>
      </c>
      <c r="D30" s="33">
        <v>8927.49</v>
      </c>
      <c r="E30" s="2">
        <v>95135.2</v>
      </c>
      <c r="F30" s="107">
        <v>14500</v>
      </c>
      <c r="G30" s="2">
        <v>8500</v>
      </c>
      <c r="H30" s="33">
        <v>7538.150000000001</v>
      </c>
      <c r="I30" s="33">
        <v>2255.98</v>
      </c>
      <c r="J30" s="2">
        <f t="shared" si="0"/>
        <v>-1389.3399999999992</v>
      </c>
      <c r="K30" s="112">
        <f t="shared" si="2"/>
        <v>-6961.849999999999</v>
      </c>
      <c r="L30" s="2">
        <f t="shared" si="3"/>
        <v>-87597.05</v>
      </c>
      <c r="M30" s="2">
        <f t="shared" si="4"/>
        <v>-6244.02</v>
      </c>
      <c r="N30" s="15">
        <f t="shared" si="1"/>
        <v>0.8443750707085643</v>
      </c>
      <c r="O30" s="15">
        <f t="shared" si="5"/>
        <v>0.2654094117647059</v>
      </c>
      <c r="P30" s="78">
        <f t="shared" si="6"/>
        <v>0.5198724137931034</v>
      </c>
      <c r="Q30" s="15">
        <f t="shared" si="7"/>
        <v>0.07923618177078516</v>
      </c>
    </row>
    <row r="31" spans="1:17" ht="15.75">
      <c r="A31" s="148"/>
      <c r="B31" s="120"/>
      <c r="C31" s="84" t="s">
        <v>33</v>
      </c>
      <c r="D31" s="33">
        <v>1540.92</v>
      </c>
      <c r="E31" s="2">
        <v>557</v>
      </c>
      <c r="F31" s="107">
        <v>92.8</v>
      </c>
      <c r="G31" s="2">
        <v>46.4</v>
      </c>
      <c r="H31" s="33">
        <v>271.29</v>
      </c>
      <c r="I31" s="33">
        <v>29.17</v>
      </c>
      <c r="J31" s="2">
        <f t="shared" si="0"/>
        <v>-1269.63</v>
      </c>
      <c r="K31" s="112">
        <f t="shared" si="2"/>
        <v>178.49</v>
      </c>
      <c r="L31" s="2">
        <f t="shared" si="3"/>
        <v>-285.71</v>
      </c>
      <c r="M31" s="2">
        <f t="shared" si="4"/>
        <v>-17.229999999999997</v>
      </c>
      <c r="N31" s="15">
        <f t="shared" si="1"/>
        <v>0.1760571606572697</v>
      </c>
      <c r="O31" s="15">
        <f t="shared" si="5"/>
        <v>0.6286637931034483</v>
      </c>
      <c r="P31" s="78">
        <f t="shared" si="6"/>
        <v>2.9233836206896555</v>
      </c>
      <c r="Q31" s="15">
        <f t="shared" si="7"/>
        <v>0.48705565529622985</v>
      </c>
    </row>
    <row r="32" spans="1:17" ht="27" customHeight="1">
      <c r="A32" s="148"/>
      <c r="B32" s="120"/>
      <c r="C32" s="99" t="s">
        <v>34</v>
      </c>
      <c r="D32" s="2">
        <f>D33+D35+D34</f>
        <v>89482.68000000001</v>
      </c>
      <c r="E32" s="2">
        <f>E33+E35+E34</f>
        <v>95061.3</v>
      </c>
      <c r="F32" s="2">
        <f>F33+F35+F34</f>
        <v>7478.4</v>
      </c>
      <c r="G32" s="2">
        <f>G33+G35+G34</f>
        <v>5449.3</v>
      </c>
      <c r="H32" s="2">
        <v>206645.68</v>
      </c>
      <c r="I32" s="2">
        <v>168806.12999999998</v>
      </c>
      <c r="J32" s="3">
        <f t="shared" si="0"/>
        <v>117162.99999999999</v>
      </c>
      <c r="K32" s="112">
        <f t="shared" si="2"/>
        <v>199167.28</v>
      </c>
      <c r="L32" s="3">
        <f t="shared" si="3"/>
        <v>111584.37999999999</v>
      </c>
      <c r="M32" s="3">
        <f t="shared" si="4"/>
        <v>163356.83</v>
      </c>
      <c r="N32" s="15">
        <f t="shared" si="1"/>
        <v>2.309337181228814</v>
      </c>
      <c r="O32" s="15">
        <f t="shared" si="5"/>
        <v>30.97758060668342</v>
      </c>
      <c r="P32" s="78">
        <f t="shared" si="6"/>
        <v>27.632338468121524</v>
      </c>
      <c r="Q32" s="15">
        <f t="shared" si="7"/>
        <v>2.1738150014779936</v>
      </c>
    </row>
    <row r="33" spans="1:17" ht="23.25" customHeight="1">
      <c r="A33" s="148"/>
      <c r="B33" s="120"/>
      <c r="C33" s="113" t="s">
        <v>35</v>
      </c>
      <c r="D33" s="33">
        <v>85949.07</v>
      </c>
      <c r="E33" s="4">
        <f>57826.6</f>
        <v>57826.6</v>
      </c>
      <c r="F33" s="108">
        <v>3260.4</v>
      </c>
      <c r="G33" s="4">
        <v>3160.6</v>
      </c>
      <c r="H33" s="33">
        <v>204874.13</v>
      </c>
      <c r="I33" s="33">
        <v>168575.53</v>
      </c>
      <c r="J33" s="4">
        <f t="shared" si="0"/>
        <v>118925.06</v>
      </c>
      <c r="K33" s="112">
        <f t="shared" si="2"/>
        <v>201613.73</v>
      </c>
      <c r="L33" s="4">
        <f t="shared" si="3"/>
        <v>147047.53</v>
      </c>
      <c r="M33" s="4">
        <f t="shared" si="4"/>
        <v>165414.93</v>
      </c>
      <c r="N33" s="15">
        <f t="shared" si="1"/>
        <v>2.383668956511106</v>
      </c>
      <c r="O33" s="15">
        <f t="shared" si="5"/>
        <v>53.33655951401633</v>
      </c>
      <c r="P33" s="78">
        <f t="shared" si="6"/>
        <v>62.83711507790455</v>
      </c>
      <c r="Q33" s="15">
        <f t="shared" si="7"/>
        <v>3.5429046494173964</v>
      </c>
    </row>
    <row r="34" spans="1:17" ht="21" customHeight="1">
      <c r="A34" s="148"/>
      <c r="B34" s="120"/>
      <c r="C34" s="113" t="s">
        <v>36</v>
      </c>
      <c r="D34" s="33"/>
      <c r="E34" s="4">
        <v>1403.8</v>
      </c>
      <c r="F34" s="108">
        <v>632.1</v>
      </c>
      <c r="G34" s="4">
        <v>632.1</v>
      </c>
      <c r="H34" s="33">
        <v>0</v>
      </c>
      <c r="I34" s="33">
        <v>0</v>
      </c>
      <c r="J34" s="4">
        <f t="shared" si="0"/>
        <v>0</v>
      </c>
      <c r="K34" s="112">
        <f t="shared" si="2"/>
        <v>-632.1</v>
      </c>
      <c r="L34" s="4">
        <f t="shared" si="3"/>
        <v>-1403.8</v>
      </c>
      <c r="M34" s="4">
        <f t="shared" si="4"/>
        <v>-632.1</v>
      </c>
      <c r="N34" s="15">
        <f t="shared" si="1"/>
      </c>
      <c r="O34" s="15">
        <f t="shared" si="5"/>
        <v>0</v>
      </c>
      <c r="P34" s="78">
        <f t="shared" si="6"/>
        <v>0</v>
      </c>
      <c r="Q34" s="15">
        <f t="shared" si="7"/>
        <v>0</v>
      </c>
    </row>
    <row r="35" spans="1:17" ht="25.5" customHeight="1">
      <c r="A35" s="148"/>
      <c r="B35" s="120"/>
      <c r="C35" s="113" t="s">
        <v>37</v>
      </c>
      <c r="D35" s="33">
        <v>3533.61</v>
      </c>
      <c r="E35" s="4">
        <v>35830.9</v>
      </c>
      <c r="F35" s="108">
        <v>3585.8999999999996</v>
      </c>
      <c r="G35" s="4">
        <v>1656.6</v>
      </c>
      <c r="H35" s="33">
        <v>1771.55</v>
      </c>
      <c r="I35" s="33">
        <v>230.60000000000002</v>
      </c>
      <c r="J35" s="4">
        <f t="shared" si="0"/>
        <v>-1762.0600000000002</v>
      </c>
      <c r="K35" s="112">
        <f t="shared" si="2"/>
        <v>-1814.3499999999997</v>
      </c>
      <c r="L35" s="4">
        <f t="shared" si="3"/>
        <v>-34059.35</v>
      </c>
      <c r="M35" s="4">
        <f t="shared" si="4"/>
        <v>-1426</v>
      </c>
      <c r="N35" s="15">
        <f t="shared" si="1"/>
        <v>0.5013428193830105</v>
      </c>
      <c r="O35" s="15">
        <f t="shared" si="5"/>
        <v>0.13920077266690814</v>
      </c>
      <c r="P35" s="78">
        <f t="shared" si="6"/>
        <v>0.4940321816001562</v>
      </c>
      <c r="Q35" s="15">
        <f t="shared" si="7"/>
        <v>0.049441962105333664</v>
      </c>
    </row>
    <row r="36" spans="1:17" ht="15.75">
      <c r="A36" s="148"/>
      <c r="B36" s="148"/>
      <c r="C36" s="85" t="s">
        <v>7</v>
      </c>
      <c r="D36" s="74">
        <f>SUM(D29:D32)</f>
        <v>99951.09000000001</v>
      </c>
      <c r="E36" s="74">
        <f>SUM(E29:E32)</f>
        <v>193393.5</v>
      </c>
      <c r="F36" s="74">
        <f>SUM(F29:F32)</f>
        <v>22071.199999999997</v>
      </c>
      <c r="G36" s="74">
        <f>SUM(G29:G32)</f>
        <v>13995.7</v>
      </c>
      <c r="H36" s="74">
        <f>SUM(H29:H32)</f>
        <v>214455.12</v>
      </c>
      <c r="I36" s="74">
        <f>SUM(I29:I32)</f>
        <v>171091.27999999997</v>
      </c>
      <c r="J36" s="74">
        <f t="shared" si="0"/>
        <v>114504.02999999998</v>
      </c>
      <c r="K36" s="112">
        <f t="shared" si="2"/>
        <v>192383.91999999998</v>
      </c>
      <c r="L36" s="74">
        <f t="shared" si="3"/>
        <v>21061.619999999995</v>
      </c>
      <c r="M36" s="74">
        <f t="shared" si="4"/>
        <v>157095.57999999996</v>
      </c>
      <c r="N36" s="26">
        <f t="shared" si="1"/>
        <v>2.145600613259945</v>
      </c>
      <c r="O36" s="26">
        <f t="shared" si="5"/>
        <v>12.224560400694497</v>
      </c>
      <c r="P36" s="78">
        <f t="shared" si="6"/>
        <v>9.716513827974918</v>
      </c>
      <c r="Q36" s="26">
        <f t="shared" si="7"/>
        <v>1.1089055216436954</v>
      </c>
    </row>
    <row r="37" spans="1:17" ht="31.5">
      <c r="A37" s="148" t="s">
        <v>71</v>
      </c>
      <c r="B37" s="120" t="s">
        <v>13</v>
      </c>
      <c r="C37" s="84" t="s">
        <v>39</v>
      </c>
      <c r="D37" s="33">
        <v>58342.48</v>
      </c>
      <c r="E37" s="2">
        <v>280952</v>
      </c>
      <c r="F37" s="107">
        <v>53000</v>
      </c>
      <c r="G37" s="2">
        <v>43800</v>
      </c>
      <c r="H37" s="33">
        <v>64863.53</v>
      </c>
      <c r="I37" s="33">
        <v>49705.03</v>
      </c>
      <c r="J37" s="3">
        <f aca="true" t="shared" si="8" ref="J37:J82">H37-D37</f>
        <v>6521.049999999996</v>
      </c>
      <c r="K37" s="112">
        <f t="shared" si="2"/>
        <v>11863.529999999999</v>
      </c>
      <c r="L37" s="3">
        <f aca="true" t="shared" si="9" ref="L37:L68">H37-E37</f>
        <v>-216088.47</v>
      </c>
      <c r="M37" s="3">
        <f aca="true" t="shared" si="10" ref="M37:M68">I37-G37</f>
        <v>5905.029999999999</v>
      </c>
      <c r="N37" s="15">
        <f aca="true" t="shared" si="11" ref="N37:N68">_xlfn.IFERROR(H37/D37,"")</f>
        <v>1.1117719027370794</v>
      </c>
      <c r="O37" s="15">
        <f aca="true" t="shared" si="12" ref="O37:O68">_xlfn.IFERROR(I37/G37,"")</f>
        <v>1.1348180365296803</v>
      </c>
      <c r="P37" s="78">
        <f t="shared" si="6"/>
        <v>1.2238401886792452</v>
      </c>
      <c r="Q37" s="15">
        <f t="shared" si="7"/>
        <v>0.2308705045701757</v>
      </c>
    </row>
    <row r="38" spans="1:17" ht="18.75" customHeight="1">
      <c r="A38" s="148"/>
      <c r="B38" s="120"/>
      <c r="C38" s="84" t="s">
        <v>40</v>
      </c>
      <c r="D38" s="33">
        <v>18863.08</v>
      </c>
      <c r="E38" s="2">
        <v>234039.3</v>
      </c>
      <c r="F38" s="107">
        <v>21100</v>
      </c>
      <c r="G38" s="2">
        <v>21100</v>
      </c>
      <c r="H38" s="33">
        <v>14892.93</v>
      </c>
      <c r="I38" s="33">
        <v>16893.620000000003</v>
      </c>
      <c r="J38" s="3">
        <f t="shared" si="8"/>
        <v>-3970.1500000000015</v>
      </c>
      <c r="K38" s="112">
        <f t="shared" si="2"/>
        <v>-6207.07</v>
      </c>
      <c r="L38" s="3">
        <f t="shared" si="9"/>
        <v>-219146.37</v>
      </c>
      <c r="M38" s="3">
        <f t="shared" si="10"/>
        <v>-4206.379999999997</v>
      </c>
      <c r="N38" s="15">
        <f t="shared" si="11"/>
        <v>0.7895280092116451</v>
      </c>
      <c r="O38" s="15">
        <f t="shared" si="12"/>
        <v>0.8006454976303319</v>
      </c>
      <c r="P38" s="78">
        <f t="shared" si="6"/>
        <v>0.7058260663507109</v>
      </c>
      <c r="Q38" s="15">
        <f t="shared" si="7"/>
        <v>0.0636343126987647</v>
      </c>
    </row>
    <row r="39" spans="1:17" ht="31.5">
      <c r="A39" s="148"/>
      <c r="B39" s="120"/>
      <c r="C39" s="21" t="s">
        <v>41</v>
      </c>
      <c r="D39" s="33">
        <v>6396.61</v>
      </c>
      <c r="E39" s="2">
        <v>42797.9</v>
      </c>
      <c r="F39" s="107">
        <v>5980</v>
      </c>
      <c r="G39" s="2">
        <v>5650</v>
      </c>
      <c r="H39" s="33">
        <v>7748.32</v>
      </c>
      <c r="I39" s="33">
        <v>6838.23</v>
      </c>
      <c r="J39" s="2">
        <f t="shared" si="8"/>
        <v>1351.71</v>
      </c>
      <c r="K39" s="112">
        <f t="shared" si="2"/>
        <v>1768.3199999999997</v>
      </c>
      <c r="L39" s="2">
        <f t="shared" si="9"/>
        <v>-35049.58</v>
      </c>
      <c r="M39" s="2">
        <f t="shared" si="10"/>
        <v>1188.2299999999996</v>
      </c>
      <c r="N39" s="15">
        <f t="shared" si="11"/>
        <v>1.2113166192717706</v>
      </c>
      <c r="O39" s="15">
        <f t="shared" si="12"/>
        <v>1.2103061946902653</v>
      </c>
      <c r="P39" s="78">
        <f t="shared" si="6"/>
        <v>1.295705685618729</v>
      </c>
      <c r="Q39" s="15">
        <f t="shared" si="7"/>
        <v>0.18104439703817243</v>
      </c>
    </row>
    <row r="40" spans="1:17" ht="18.75" customHeight="1">
      <c r="A40" s="151"/>
      <c r="B40" s="121"/>
      <c r="C40" s="87" t="s">
        <v>75</v>
      </c>
      <c r="D40" s="33">
        <v>1078.96</v>
      </c>
      <c r="E40" s="2">
        <v>3022.8</v>
      </c>
      <c r="F40" s="107"/>
      <c r="G40" s="2">
        <v>0</v>
      </c>
      <c r="H40" s="33">
        <v>1974.5</v>
      </c>
      <c r="I40" s="33">
        <v>1682.3899999999999</v>
      </c>
      <c r="J40" s="2">
        <f t="shared" si="8"/>
        <v>895.54</v>
      </c>
      <c r="K40" s="112">
        <f t="shared" si="2"/>
        <v>1974.5</v>
      </c>
      <c r="L40" s="2">
        <f t="shared" si="9"/>
        <v>-1048.3000000000002</v>
      </c>
      <c r="M40" s="2">
        <f t="shared" si="10"/>
        <v>1682.3899999999999</v>
      </c>
      <c r="N40" s="15">
        <f t="shared" si="11"/>
        <v>1.8300029658189367</v>
      </c>
      <c r="O40" s="15">
        <f t="shared" si="12"/>
      </c>
      <c r="P40" s="78">
        <f t="shared" si="6"/>
      </c>
      <c r="Q40" s="15">
        <f t="shared" si="7"/>
        <v>0.6532023289665211</v>
      </c>
    </row>
    <row r="41" spans="1:17" ht="18" customHeight="1">
      <c r="A41" s="152"/>
      <c r="B41" s="155"/>
      <c r="C41" s="88" t="s">
        <v>79</v>
      </c>
      <c r="D41" s="33">
        <v>10.63</v>
      </c>
      <c r="E41" s="2">
        <v>0</v>
      </c>
      <c r="F41" s="107"/>
      <c r="G41" s="2">
        <v>0</v>
      </c>
      <c r="H41" s="33">
        <v>3.7199999999999998</v>
      </c>
      <c r="I41" s="33">
        <v>0.01</v>
      </c>
      <c r="J41" s="2">
        <f t="shared" si="8"/>
        <v>-6.910000000000001</v>
      </c>
      <c r="K41" s="112">
        <f t="shared" si="2"/>
        <v>3.7199999999999998</v>
      </c>
      <c r="L41" s="2">
        <f t="shared" si="9"/>
        <v>3.7199999999999998</v>
      </c>
      <c r="M41" s="2">
        <f t="shared" si="10"/>
        <v>0.01</v>
      </c>
      <c r="N41" s="15">
        <f t="shared" si="11"/>
        <v>0.3499529633113828</v>
      </c>
      <c r="O41" s="15">
        <f t="shared" si="12"/>
      </c>
      <c r="P41" s="78">
        <f t="shared" si="6"/>
      </c>
      <c r="Q41" s="15">
        <f t="shared" si="7"/>
      </c>
    </row>
    <row r="42" spans="1:17" ht="31.5">
      <c r="A42" s="148"/>
      <c r="B42" s="120"/>
      <c r="C42" s="84" t="s">
        <v>42</v>
      </c>
      <c r="D42" s="33">
        <v>32799.52</v>
      </c>
      <c r="E42" s="2">
        <f>150270.7</f>
        <v>150270.7</v>
      </c>
      <c r="F42" s="107">
        <v>11330</v>
      </c>
      <c r="G42" s="2">
        <v>10700</v>
      </c>
      <c r="H42" s="33">
        <v>10202.85</v>
      </c>
      <c r="I42" s="33">
        <v>1209.01</v>
      </c>
      <c r="J42" s="2">
        <f t="shared" si="8"/>
        <v>-22596.67</v>
      </c>
      <c r="K42" s="112">
        <f t="shared" si="2"/>
        <v>-1127.1499999999996</v>
      </c>
      <c r="L42" s="2">
        <f t="shared" si="9"/>
        <v>-140067.85</v>
      </c>
      <c r="M42" s="2">
        <f t="shared" si="10"/>
        <v>-9490.99</v>
      </c>
      <c r="N42" s="15">
        <f t="shared" si="11"/>
        <v>0.31106705220076397</v>
      </c>
      <c r="O42" s="15">
        <f t="shared" si="12"/>
        <v>0.11299158878504673</v>
      </c>
      <c r="P42" s="78">
        <f t="shared" si="6"/>
        <v>0.9005163283318623</v>
      </c>
      <c r="Q42" s="15">
        <f t="shared" si="7"/>
        <v>0.06789646950470052</v>
      </c>
    </row>
    <row r="43" spans="1:17" ht="30" customHeight="1">
      <c r="A43" s="153"/>
      <c r="B43" s="141"/>
      <c r="C43" s="89" t="s">
        <v>92</v>
      </c>
      <c r="D43" s="33"/>
      <c r="E43" s="24">
        <v>0</v>
      </c>
      <c r="F43" s="107"/>
      <c r="G43" s="24">
        <v>0</v>
      </c>
      <c r="H43" s="33">
        <v>0</v>
      </c>
      <c r="I43" s="33">
        <v>0</v>
      </c>
      <c r="J43" s="2">
        <f t="shared" si="8"/>
        <v>0</v>
      </c>
      <c r="K43" s="112">
        <f t="shared" si="2"/>
        <v>0</v>
      </c>
      <c r="L43" s="2">
        <f t="shared" si="9"/>
        <v>0</v>
      </c>
      <c r="M43" s="2">
        <f t="shared" si="10"/>
        <v>0</v>
      </c>
      <c r="N43" s="15">
        <f t="shared" si="11"/>
      </c>
      <c r="O43" s="15">
        <f t="shared" si="12"/>
      </c>
      <c r="P43" s="78">
        <f t="shared" si="6"/>
      </c>
      <c r="Q43" s="15">
        <f t="shared" si="7"/>
      </c>
    </row>
    <row r="44" spans="1:17" ht="34.5" customHeight="1">
      <c r="A44" s="148"/>
      <c r="B44" s="120"/>
      <c r="C44" s="84" t="s">
        <v>43</v>
      </c>
      <c r="D44" s="33">
        <v>11990.25</v>
      </c>
      <c r="E44" s="2">
        <v>82177</v>
      </c>
      <c r="F44" s="107">
        <v>5800</v>
      </c>
      <c r="G44" s="2">
        <v>4000</v>
      </c>
      <c r="H44" s="33">
        <v>13522.3</v>
      </c>
      <c r="I44" s="33">
        <v>1216.45</v>
      </c>
      <c r="J44" s="2">
        <f t="shared" si="8"/>
        <v>1532.0499999999993</v>
      </c>
      <c r="K44" s="112">
        <f t="shared" si="2"/>
        <v>7722.299999999999</v>
      </c>
      <c r="L44" s="2">
        <f t="shared" si="9"/>
        <v>-68654.7</v>
      </c>
      <c r="M44" s="2">
        <f t="shared" si="10"/>
        <v>-2783.55</v>
      </c>
      <c r="N44" s="15">
        <f t="shared" si="11"/>
        <v>1.1277746502366506</v>
      </c>
      <c r="O44" s="15">
        <f t="shared" si="12"/>
        <v>0.3041125</v>
      </c>
      <c r="P44" s="78">
        <f t="shared" si="6"/>
        <v>2.3314310344827587</v>
      </c>
      <c r="Q44" s="15">
        <f t="shared" si="7"/>
        <v>0.16455090840502817</v>
      </c>
    </row>
    <row r="45" spans="1:17" ht="36.75" customHeight="1">
      <c r="A45" s="154"/>
      <c r="B45" s="156"/>
      <c r="C45" s="84" t="s">
        <v>93</v>
      </c>
      <c r="D45" s="33"/>
      <c r="E45" s="27">
        <v>0</v>
      </c>
      <c r="F45" s="107"/>
      <c r="G45" s="27">
        <v>0</v>
      </c>
      <c r="H45" s="33">
        <v>0</v>
      </c>
      <c r="I45" s="33">
        <v>0</v>
      </c>
      <c r="J45" s="2">
        <f t="shared" si="8"/>
        <v>0</v>
      </c>
      <c r="K45" s="112">
        <f t="shared" si="2"/>
        <v>0</v>
      </c>
      <c r="L45" s="2">
        <f t="shared" si="9"/>
        <v>0</v>
      </c>
      <c r="M45" s="2">
        <f t="shared" si="10"/>
        <v>0</v>
      </c>
      <c r="N45" s="15">
        <f t="shared" si="11"/>
      </c>
      <c r="O45" s="15">
        <f t="shared" si="12"/>
      </c>
      <c r="P45" s="78">
        <f t="shared" si="6"/>
      </c>
      <c r="Q45" s="32"/>
    </row>
    <row r="46" spans="1:17" ht="18" customHeight="1">
      <c r="A46" s="153"/>
      <c r="B46" s="141"/>
      <c r="C46" s="21" t="s">
        <v>48</v>
      </c>
      <c r="D46" s="33">
        <v>1163</v>
      </c>
      <c r="E46" s="24">
        <v>8857.5</v>
      </c>
      <c r="F46" s="107"/>
      <c r="G46" s="24">
        <v>0</v>
      </c>
      <c r="H46" s="33">
        <v>1641.07</v>
      </c>
      <c r="I46" s="33">
        <v>922.9600000000002</v>
      </c>
      <c r="J46" s="2">
        <f t="shared" si="8"/>
        <v>478.06999999999994</v>
      </c>
      <c r="K46" s="112">
        <f t="shared" si="2"/>
        <v>1641.07</v>
      </c>
      <c r="L46" s="2">
        <f t="shared" si="9"/>
        <v>-7216.43</v>
      </c>
      <c r="M46" s="2">
        <f t="shared" si="10"/>
        <v>922.9600000000002</v>
      </c>
      <c r="N46" s="15">
        <f t="shared" si="11"/>
        <v>1.4110662080825451</v>
      </c>
      <c r="O46" s="15">
        <f t="shared" si="12"/>
      </c>
      <c r="P46" s="78">
        <f t="shared" si="6"/>
      </c>
      <c r="Q46" s="15">
        <f aca="true" t="shared" si="13" ref="Q46:Q82">_xlfn.IFERROR(H46/E46,"")</f>
        <v>0.18527462602314423</v>
      </c>
    </row>
    <row r="47" spans="1:17" ht="18.75" customHeight="1">
      <c r="A47" s="153"/>
      <c r="B47" s="141"/>
      <c r="C47" s="21" t="s">
        <v>90</v>
      </c>
      <c r="D47" s="33">
        <v>2858.5600000000004</v>
      </c>
      <c r="E47" s="24">
        <v>46764</v>
      </c>
      <c r="F47" s="107">
        <v>7792</v>
      </c>
      <c r="G47" s="24">
        <v>3896</v>
      </c>
      <c r="H47" s="33">
        <v>5636.280000000001</v>
      </c>
      <c r="I47" s="33">
        <v>1971.35</v>
      </c>
      <c r="J47" s="2">
        <f t="shared" si="8"/>
        <v>2777.7200000000003</v>
      </c>
      <c r="K47" s="112">
        <f t="shared" si="2"/>
        <v>-2155.7199999999993</v>
      </c>
      <c r="L47" s="2">
        <f t="shared" si="9"/>
        <v>-41127.72</v>
      </c>
      <c r="M47" s="2">
        <f t="shared" si="10"/>
        <v>-1924.65</v>
      </c>
      <c r="N47" s="15">
        <f t="shared" si="11"/>
        <v>1.9717200268666741</v>
      </c>
      <c r="O47" s="15">
        <f t="shared" si="12"/>
        <v>0.5059933264887063</v>
      </c>
      <c r="P47" s="78">
        <f t="shared" si="6"/>
        <v>0.7233418891170432</v>
      </c>
      <c r="Q47" s="15">
        <f t="shared" si="13"/>
        <v>0.12052604567616117</v>
      </c>
    </row>
    <row r="48" spans="1:17" ht="18" customHeight="1">
      <c r="A48" s="148"/>
      <c r="B48" s="148"/>
      <c r="C48" s="85" t="s">
        <v>7</v>
      </c>
      <c r="D48" s="74">
        <f>SUM(D37:D47)</f>
        <v>133503.09</v>
      </c>
      <c r="E48" s="74">
        <f>SUM(E37:E47)</f>
        <v>848881.2</v>
      </c>
      <c r="F48" s="74">
        <f>SUM(F37:F47)</f>
        <v>105002</v>
      </c>
      <c r="G48" s="74">
        <f>SUM(G37:G47)</f>
        <v>89146</v>
      </c>
      <c r="H48" s="74">
        <f>SUM(H37:H47)</f>
        <v>120485.50000000001</v>
      </c>
      <c r="I48" s="74">
        <f>SUM(I37:I47)</f>
        <v>80439.04999999999</v>
      </c>
      <c r="J48" s="74">
        <f t="shared" si="8"/>
        <v>-13017.589999999982</v>
      </c>
      <c r="K48" s="112">
        <f t="shared" si="2"/>
        <v>15483.500000000015</v>
      </c>
      <c r="L48" s="74">
        <f t="shared" si="9"/>
        <v>-728395.7</v>
      </c>
      <c r="M48" s="74">
        <f t="shared" si="10"/>
        <v>-8706.950000000012</v>
      </c>
      <c r="N48" s="15">
        <f t="shared" si="11"/>
        <v>0.9024922194684784</v>
      </c>
      <c r="O48" s="15">
        <f t="shared" si="12"/>
        <v>0.9023293249276466</v>
      </c>
      <c r="P48" s="78">
        <f t="shared" si="6"/>
        <v>1.1474590960172188</v>
      </c>
      <c r="Q48" s="15">
        <f t="shared" si="13"/>
        <v>0.14193446621270447</v>
      </c>
    </row>
    <row r="49" spans="1:17" ht="18" customHeight="1">
      <c r="A49" s="148" t="s">
        <v>44</v>
      </c>
      <c r="B49" s="120" t="s">
        <v>45</v>
      </c>
      <c r="C49" s="21" t="s">
        <v>26</v>
      </c>
      <c r="D49" s="43"/>
      <c r="E49" s="2">
        <v>123</v>
      </c>
      <c r="F49" s="107"/>
      <c r="G49" s="2">
        <v>0</v>
      </c>
      <c r="H49" s="43">
        <v>0</v>
      </c>
      <c r="I49" s="43">
        <v>0</v>
      </c>
      <c r="J49" s="3">
        <f t="shared" si="8"/>
        <v>0</v>
      </c>
      <c r="K49" s="112">
        <f t="shared" si="2"/>
        <v>0</v>
      </c>
      <c r="L49" s="3">
        <f t="shared" si="9"/>
        <v>-123</v>
      </c>
      <c r="M49" s="3">
        <f t="shared" si="10"/>
        <v>0</v>
      </c>
      <c r="N49" s="15">
        <f t="shared" si="11"/>
      </c>
      <c r="O49" s="15">
        <f t="shared" si="12"/>
      </c>
      <c r="P49" s="78">
        <f t="shared" si="6"/>
      </c>
      <c r="Q49" s="15">
        <f t="shared" si="13"/>
        <v>0</v>
      </c>
    </row>
    <row r="50" spans="1:17" ht="18" customHeight="1">
      <c r="A50" s="148"/>
      <c r="B50" s="120"/>
      <c r="C50" s="90" t="s">
        <v>7</v>
      </c>
      <c r="D50" s="75">
        <f>SUM(D49:D49)</f>
        <v>0</v>
      </c>
      <c r="E50" s="75">
        <f>SUM(E49:E49)</f>
        <v>123</v>
      </c>
      <c r="F50" s="75">
        <f>SUM(F49:F49)</f>
        <v>0</v>
      </c>
      <c r="G50" s="75">
        <f>SUM(G49:G49)</f>
        <v>0</v>
      </c>
      <c r="H50" s="75">
        <f>SUM(H49:H49)</f>
        <v>0</v>
      </c>
      <c r="I50" s="75">
        <f>SUM(I49:I49)</f>
        <v>0</v>
      </c>
      <c r="J50" s="76">
        <f t="shared" si="8"/>
        <v>0</v>
      </c>
      <c r="K50" s="112">
        <f t="shared" si="2"/>
        <v>0</v>
      </c>
      <c r="L50" s="76">
        <f t="shared" si="9"/>
        <v>-123</v>
      </c>
      <c r="M50" s="76">
        <f t="shared" si="10"/>
        <v>0</v>
      </c>
      <c r="N50" s="15">
        <f t="shared" si="11"/>
      </c>
      <c r="O50" s="15">
        <f t="shared" si="12"/>
      </c>
      <c r="P50" s="78">
        <f t="shared" si="6"/>
      </c>
      <c r="Q50" s="15">
        <f t="shared" si="13"/>
        <v>0</v>
      </c>
    </row>
    <row r="51" spans="1:17" ht="18" customHeight="1">
      <c r="A51" s="159" t="s">
        <v>47</v>
      </c>
      <c r="B51" s="158" t="s">
        <v>73</v>
      </c>
      <c r="C51" s="91" t="s">
        <v>81</v>
      </c>
      <c r="D51" s="43">
        <v>56539.39</v>
      </c>
      <c r="E51" s="2">
        <v>596188</v>
      </c>
      <c r="F51" s="107">
        <v>94021.7</v>
      </c>
      <c r="G51" s="2">
        <v>46905.1</v>
      </c>
      <c r="H51" s="43">
        <v>67825.38</v>
      </c>
      <c r="I51" s="43">
        <v>11994.84</v>
      </c>
      <c r="J51" s="3">
        <f t="shared" si="8"/>
        <v>11285.990000000005</v>
      </c>
      <c r="K51" s="112">
        <f t="shared" si="2"/>
        <v>-26196.319999999992</v>
      </c>
      <c r="L51" s="3">
        <f t="shared" si="9"/>
        <v>-528362.62</v>
      </c>
      <c r="M51" s="3">
        <f t="shared" si="10"/>
        <v>-34910.259999999995</v>
      </c>
      <c r="N51" s="15">
        <f t="shared" si="11"/>
        <v>1.1996128716634546</v>
      </c>
      <c r="O51" s="15">
        <f t="shared" si="12"/>
        <v>0.25572570999742034</v>
      </c>
      <c r="P51" s="78">
        <f t="shared" si="6"/>
        <v>0.7213800643893911</v>
      </c>
      <c r="Q51" s="15">
        <f t="shared" si="13"/>
        <v>0.11376508752272774</v>
      </c>
    </row>
    <row r="52" spans="1:17" ht="18" customHeight="1">
      <c r="A52" s="130"/>
      <c r="B52" s="126"/>
      <c r="C52" s="91" t="s">
        <v>76</v>
      </c>
      <c r="D52" s="43">
        <v>38681.08</v>
      </c>
      <c r="E52" s="23">
        <v>454879.5</v>
      </c>
      <c r="F52" s="107">
        <v>57611.600000000006</v>
      </c>
      <c r="G52" s="23">
        <v>24064.8</v>
      </c>
      <c r="H52" s="43">
        <v>49243.72</v>
      </c>
      <c r="I52" s="43">
        <v>7603.45</v>
      </c>
      <c r="J52" s="33">
        <f t="shared" si="8"/>
        <v>10562.64</v>
      </c>
      <c r="K52" s="112">
        <f t="shared" si="2"/>
        <v>-8367.880000000005</v>
      </c>
      <c r="L52" s="33">
        <f t="shared" si="9"/>
        <v>-405635.78</v>
      </c>
      <c r="M52" s="33">
        <f>I52-G52</f>
        <v>-16461.35</v>
      </c>
      <c r="N52" s="15">
        <f t="shared" si="11"/>
        <v>1.2730699349656214</v>
      </c>
      <c r="O52" s="15">
        <f t="shared" si="12"/>
        <v>0.31595733187061603</v>
      </c>
      <c r="P52" s="78">
        <f t="shared" si="6"/>
        <v>0.8547535565754119</v>
      </c>
      <c r="Q52" s="15">
        <f t="shared" si="13"/>
        <v>0.10825662620540165</v>
      </c>
    </row>
    <row r="53" spans="1:17" ht="18" customHeight="1">
      <c r="A53" s="130"/>
      <c r="B53" s="126"/>
      <c r="C53" s="91" t="s">
        <v>77</v>
      </c>
      <c r="D53" s="43">
        <v>372225.8</v>
      </c>
      <c r="E53" s="2">
        <v>4256276</v>
      </c>
      <c r="F53" s="107">
        <v>601295.5</v>
      </c>
      <c r="G53" s="2">
        <v>310096.6</v>
      </c>
      <c r="H53" s="43">
        <v>371661.60000000003</v>
      </c>
      <c r="I53" s="43">
        <v>98508.59</v>
      </c>
      <c r="J53" s="3">
        <f t="shared" si="8"/>
        <v>-564.1999999999534</v>
      </c>
      <c r="K53" s="112">
        <f t="shared" si="2"/>
        <v>-229633.89999999997</v>
      </c>
      <c r="L53" s="3">
        <f t="shared" si="9"/>
        <v>-3884614.4</v>
      </c>
      <c r="M53" s="3">
        <f t="shared" si="10"/>
        <v>-211588.00999999998</v>
      </c>
      <c r="N53" s="15">
        <f t="shared" si="11"/>
        <v>0.9984842533752364</v>
      </c>
      <c r="O53" s="15">
        <f t="shared" si="12"/>
        <v>0.31767065488625157</v>
      </c>
      <c r="P53" s="78">
        <f t="shared" si="6"/>
        <v>0.6181014160258975</v>
      </c>
      <c r="Q53" s="15">
        <f t="shared" si="13"/>
        <v>0.08732084103568473</v>
      </c>
    </row>
    <row r="54" spans="1:17" ht="18" customHeight="1">
      <c r="A54" s="130"/>
      <c r="B54" s="126"/>
      <c r="C54" s="91" t="s">
        <v>78</v>
      </c>
      <c r="D54" s="43">
        <v>115.15</v>
      </c>
      <c r="E54" s="2">
        <v>1182.8</v>
      </c>
      <c r="F54" s="107">
        <v>170</v>
      </c>
      <c r="G54" s="2">
        <v>120</v>
      </c>
      <c r="H54" s="43">
        <v>124.3</v>
      </c>
      <c r="I54" s="43">
        <v>20.35</v>
      </c>
      <c r="J54" s="3">
        <f t="shared" si="8"/>
        <v>9.149999999999991</v>
      </c>
      <c r="K54" s="112">
        <f t="shared" si="2"/>
        <v>-45.7</v>
      </c>
      <c r="L54" s="3">
        <f t="shared" si="9"/>
        <v>-1058.5</v>
      </c>
      <c r="M54" s="3">
        <f t="shared" si="10"/>
        <v>-99.65</v>
      </c>
      <c r="N54" s="15">
        <f t="shared" si="11"/>
        <v>1.0794615718627876</v>
      </c>
      <c r="O54" s="15">
        <f t="shared" si="12"/>
        <v>0.16958333333333334</v>
      </c>
      <c r="P54" s="78">
        <f t="shared" si="6"/>
        <v>0.7311764705882353</v>
      </c>
      <c r="Q54" s="15">
        <f t="shared" si="13"/>
        <v>0.10508961785593507</v>
      </c>
    </row>
    <row r="55" spans="1:17" ht="18" customHeight="1">
      <c r="A55" s="132"/>
      <c r="B55" s="128"/>
      <c r="C55" s="92" t="s">
        <v>7</v>
      </c>
      <c r="D55" s="4">
        <f>SUM(D51:D54)</f>
        <v>467561.42000000004</v>
      </c>
      <c r="E55" s="4">
        <f>SUM(E51:E54)</f>
        <v>5308526.3</v>
      </c>
      <c r="F55" s="4">
        <f>SUM(F51:F54)</f>
        <v>753098.8</v>
      </c>
      <c r="G55" s="4">
        <f>SUM(G51:G54)</f>
        <v>381186.5</v>
      </c>
      <c r="H55" s="4">
        <f>SUM(H51:H54)</f>
        <v>488855.00000000006</v>
      </c>
      <c r="I55" s="4">
        <f>SUM(I51:I54)</f>
        <v>118127.23000000001</v>
      </c>
      <c r="J55" s="4">
        <f t="shared" si="8"/>
        <v>21293.580000000016</v>
      </c>
      <c r="K55" s="112">
        <f t="shared" si="2"/>
        <v>-264243.8</v>
      </c>
      <c r="L55" s="4">
        <f t="shared" si="9"/>
        <v>-4819671.3</v>
      </c>
      <c r="M55" s="4">
        <f t="shared" si="10"/>
        <v>-263059.27</v>
      </c>
      <c r="N55" s="15">
        <f t="shared" si="11"/>
        <v>1.0455417814412489</v>
      </c>
      <c r="O55" s="15">
        <f t="shared" si="12"/>
        <v>0.30989352980758766</v>
      </c>
      <c r="P55" s="78">
        <f t="shared" si="6"/>
        <v>0.6491246566851521</v>
      </c>
      <c r="Q55" s="15">
        <f t="shared" si="13"/>
        <v>0.09208864614648327</v>
      </c>
    </row>
    <row r="56" spans="1:17" ht="18" customHeight="1">
      <c r="A56" s="157">
        <v>991</v>
      </c>
      <c r="B56" s="157" t="s">
        <v>49</v>
      </c>
      <c r="C56" s="84" t="s">
        <v>50</v>
      </c>
      <c r="D56" s="43">
        <v>5271.95</v>
      </c>
      <c r="E56" s="2">
        <v>67760.3</v>
      </c>
      <c r="F56" s="107">
        <v>9900</v>
      </c>
      <c r="G56" s="2">
        <v>5600</v>
      </c>
      <c r="H56" s="43">
        <v>5364.11</v>
      </c>
      <c r="I56" s="43">
        <v>1224.4299999999998</v>
      </c>
      <c r="J56" s="2">
        <f t="shared" si="8"/>
        <v>92.15999999999985</v>
      </c>
      <c r="K56" s="112">
        <f t="shared" si="2"/>
        <v>-4535.89</v>
      </c>
      <c r="L56" s="2">
        <f t="shared" si="9"/>
        <v>-62396.19</v>
      </c>
      <c r="M56" s="2">
        <f t="shared" si="10"/>
        <v>-4375.57</v>
      </c>
      <c r="N56" s="15">
        <f t="shared" si="11"/>
        <v>1.01748119765931</v>
      </c>
      <c r="O56" s="15">
        <f t="shared" si="12"/>
        <v>0.21864821428571427</v>
      </c>
      <c r="P56" s="78">
        <f t="shared" si="6"/>
        <v>0.5418292929292929</v>
      </c>
      <c r="Q56" s="15">
        <f t="shared" si="13"/>
        <v>0.07916302023456212</v>
      </c>
    </row>
    <row r="57" spans="1:17" ht="20.25" customHeight="1">
      <c r="A57" s="157"/>
      <c r="B57" s="157"/>
      <c r="C57" s="21" t="s">
        <v>51</v>
      </c>
      <c r="D57" s="43"/>
      <c r="E57" s="2">
        <v>0</v>
      </c>
      <c r="F57" s="107"/>
      <c r="G57" s="2">
        <v>0</v>
      </c>
      <c r="H57" s="43">
        <v>0</v>
      </c>
      <c r="I57" s="43">
        <v>0</v>
      </c>
      <c r="J57" s="2">
        <f t="shared" si="8"/>
        <v>0</v>
      </c>
      <c r="K57" s="112">
        <f t="shared" si="2"/>
        <v>0</v>
      </c>
      <c r="L57" s="2">
        <f t="shared" si="9"/>
        <v>0</v>
      </c>
      <c r="M57" s="2">
        <f t="shared" si="10"/>
        <v>0</v>
      </c>
      <c r="N57" s="15">
        <f t="shared" si="11"/>
      </c>
      <c r="O57" s="15">
        <f t="shared" si="12"/>
      </c>
      <c r="P57" s="78">
        <f t="shared" si="6"/>
      </c>
      <c r="Q57" s="15">
        <f t="shared" si="13"/>
      </c>
    </row>
    <row r="58" spans="1:17" ht="15.75" customHeight="1">
      <c r="A58" s="157"/>
      <c r="B58" s="157"/>
      <c r="C58" s="85" t="s">
        <v>7</v>
      </c>
      <c r="D58" s="74">
        <f>SUM(D56:D57)</f>
        <v>5271.95</v>
      </c>
      <c r="E58" s="74">
        <f>SUM(E56:E57)</f>
        <v>67760.3</v>
      </c>
      <c r="F58" s="74">
        <f>SUM(F56:F57)</f>
        <v>9900</v>
      </c>
      <c r="G58" s="74">
        <f>SUM(G56:G57)</f>
        <v>5600</v>
      </c>
      <c r="H58" s="74">
        <f>SUM(H56:H57)</f>
        <v>5364.11</v>
      </c>
      <c r="I58" s="74">
        <f>SUM(I56:I57)</f>
        <v>1224.4299999999998</v>
      </c>
      <c r="J58" s="74">
        <f t="shared" si="8"/>
        <v>92.15999999999985</v>
      </c>
      <c r="K58" s="112">
        <f t="shared" si="2"/>
        <v>-4535.89</v>
      </c>
      <c r="L58" s="74">
        <f t="shared" si="9"/>
        <v>-62396.19</v>
      </c>
      <c r="M58" s="74">
        <f t="shared" si="10"/>
        <v>-4375.57</v>
      </c>
      <c r="N58" s="15">
        <f t="shared" si="11"/>
        <v>1.01748119765931</v>
      </c>
      <c r="O58" s="15">
        <f t="shared" si="12"/>
        <v>0.21864821428571427</v>
      </c>
      <c r="P58" s="78">
        <f t="shared" si="6"/>
        <v>0.5418292929292929</v>
      </c>
      <c r="Q58" s="26">
        <f t="shared" si="13"/>
        <v>0.07916302023456212</v>
      </c>
    </row>
    <row r="59" spans="1:17" ht="18" customHeight="1">
      <c r="A59" s="148" t="s">
        <v>52</v>
      </c>
      <c r="B59" s="120" t="s">
        <v>53</v>
      </c>
      <c r="C59" s="21" t="s">
        <v>54</v>
      </c>
      <c r="D59" s="43">
        <v>240.57</v>
      </c>
      <c r="E59" s="2">
        <v>10532.900000000001</v>
      </c>
      <c r="F59" s="107">
        <v>496.59999999999997</v>
      </c>
      <c r="G59" s="2">
        <v>447.9</v>
      </c>
      <c r="H59" s="43">
        <v>-509.95000000000005</v>
      </c>
      <c r="I59" s="43">
        <v>-235.17</v>
      </c>
      <c r="J59" s="2">
        <f t="shared" si="8"/>
        <v>-750.52</v>
      </c>
      <c r="K59" s="112">
        <f t="shared" si="2"/>
        <v>-1006.55</v>
      </c>
      <c r="L59" s="2">
        <f t="shared" si="9"/>
        <v>-11042.850000000002</v>
      </c>
      <c r="M59" s="2">
        <f t="shared" si="10"/>
        <v>-683.0699999999999</v>
      </c>
      <c r="N59" s="26">
        <f t="shared" si="11"/>
        <v>-2.1197572432140337</v>
      </c>
      <c r="O59" s="26">
        <f t="shared" si="12"/>
        <v>-0.5250502344273276</v>
      </c>
      <c r="P59" s="78">
        <f t="shared" si="6"/>
        <v>-1.0268828030608137</v>
      </c>
      <c r="Q59" s="15">
        <f t="shared" si="13"/>
        <v>-0.04841496643849272</v>
      </c>
    </row>
    <row r="60" spans="1:17" ht="18" customHeight="1">
      <c r="A60" s="149"/>
      <c r="B60" s="150"/>
      <c r="C60" s="93" t="s">
        <v>94</v>
      </c>
      <c r="D60" s="44">
        <v>3055.5</v>
      </c>
      <c r="E60" s="39">
        <f>26222.8</f>
        <v>26222.8</v>
      </c>
      <c r="F60" s="107">
        <v>600</v>
      </c>
      <c r="G60" s="39">
        <v>500</v>
      </c>
      <c r="H60" s="44">
        <v>1227.15</v>
      </c>
      <c r="I60" s="44">
        <v>803.78</v>
      </c>
      <c r="J60" s="2">
        <f t="shared" si="8"/>
        <v>-1828.35</v>
      </c>
      <c r="K60" s="112">
        <f t="shared" si="2"/>
        <v>627.1500000000001</v>
      </c>
      <c r="L60" s="2">
        <f t="shared" si="9"/>
        <v>-24995.649999999998</v>
      </c>
      <c r="M60" s="2">
        <f t="shared" si="10"/>
        <v>303.78</v>
      </c>
      <c r="N60" s="26">
        <f t="shared" si="11"/>
        <v>0.401620029455081</v>
      </c>
      <c r="O60" s="26">
        <f t="shared" si="12"/>
        <v>1.6075599999999999</v>
      </c>
      <c r="P60" s="78">
        <f t="shared" si="6"/>
        <v>2.0452500000000002</v>
      </c>
      <c r="Q60" s="15">
        <f t="shared" si="13"/>
        <v>0.04679706209863173</v>
      </c>
    </row>
    <row r="61" spans="1:17" ht="18" customHeight="1">
      <c r="A61" s="148"/>
      <c r="B61" s="120"/>
      <c r="C61" s="92" t="s">
        <v>7</v>
      </c>
      <c r="D61" s="4">
        <f>SUBTOTAL(9,D59:D60)</f>
        <v>3296.07</v>
      </c>
      <c r="E61" s="4">
        <f>SUBTOTAL(9,E59:E60)</f>
        <v>36755.7</v>
      </c>
      <c r="F61" s="4">
        <f>SUBTOTAL(9,F59:F60)</f>
        <v>1096.6</v>
      </c>
      <c r="G61" s="4">
        <f>SUBTOTAL(9,G59:G60)</f>
        <v>947.9</v>
      </c>
      <c r="H61" s="4">
        <f>SUBTOTAL(9,H59:H60)</f>
        <v>717.2</v>
      </c>
      <c r="I61" s="4">
        <f>SUBTOTAL(9,I59:I60)</f>
        <v>568.61</v>
      </c>
      <c r="J61" s="4">
        <f t="shared" si="8"/>
        <v>-2578.87</v>
      </c>
      <c r="K61" s="112">
        <f t="shared" si="2"/>
        <v>-379.39999999999986</v>
      </c>
      <c r="L61" s="4">
        <f t="shared" si="9"/>
        <v>-36038.5</v>
      </c>
      <c r="M61" s="4">
        <f t="shared" si="10"/>
        <v>-379.28999999999996</v>
      </c>
      <c r="N61" s="15">
        <f t="shared" si="11"/>
        <v>0.21759246617941974</v>
      </c>
      <c r="O61" s="15">
        <f t="shared" si="12"/>
        <v>0.5998628547315118</v>
      </c>
      <c r="P61" s="78">
        <f t="shared" si="6"/>
        <v>0.6540215210651105</v>
      </c>
      <c r="Q61" s="15">
        <f t="shared" si="13"/>
        <v>0.01951261981134899</v>
      </c>
    </row>
    <row r="62" spans="1:17" ht="18" customHeight="1">
      <c r="A62" s="120"/>
      <c r="B62" s="120" t="s">
        <v>55</v>
      </c>
      <c r="C62" s="86" t="s">
        <v>56</v>
      </c>
      <c r="D62" s="43">
        <v>21.23</v>
      </c>
      <c r="E62" s="2">
        <v>254.5</v>
      </c>
      <c r="F62" s="107">
        <v>42.4</v>
      </c>
      <c r="G62" s="2">
        <v>21.2</v>
      </c>
      <c r="H62" s="43">
        <v>11.26</v>
      </c>
      <c r="I62" s="43">
        <v>0</v>
      </c>
      <c r="J62" s="2">
        <f t="shared" si="8"/>
        <v>-9.97</v>
      </c>
      <c r="K62" s="112">
        <f t="shared" si="2"/>
        <v>-31.14</v>
      </c>
      <c r="L62" s="2">
        <f t="shared" si="9"/>
        <v>-243.24</v>
      </c>
      <c r="M62" s="2">
        <f t="shared" si="10"/>
        <v>-21.2</v>
      </c>
      <c r="N62" s="15">
        <f t="shared" si="11"/>
        <v>0.5303815355628827</v>
      </c>
      <c r="O62" s="15">
        <f t="shared" si="12"/>
        <v>0</v>
      </c>
      <c r="P62" s="78">
        <f t="shared" si="6"/>
        <v>0.2655660377358491</v>
      </c>
      <c r="Q62" s="15">
        <f t="shared" si="13"/>
        <v>0.04424361493123772</v>
      </c>
    </row>
    <row r="63" spans="1:17" ht="18" customHeight="1">
      <c r="A63" s="121"/>
      <c r="B63" s="121"/>
      <c r="C63" s="21" t="s">
        <v>87</v>
      </c>
      <c r="D63" s="43">
        <v>-163.07</v>
      </c>
      <c r="E63" s="5">
        <v>49.4</v>
      </c>
      <c r="F63" s="107">
        <v>49.4</v>
      </c>
      <c r="G63" s="5">
        <v>49.4</v>
      </c>
      <c r="H63" s="43">
        <v>297.18</v>
      </c>
      <c r="I63" s="43">
        <v>213.21</v>
      </c>
      <c r="J63" s="5">
        <f t="shared" si="8"/>
        <v>460.25</v>
      </c>
      <c r="K63" s="112">
        <f t="shared" si="2"/>
        <v>247.78</v>
      </c>
      <c r="L63" s="5">
        <f t="shared" si="9"/>
        <v>247.78</v>
      </c>
      <c r="M63" s="5">
        <f t="shared" si="10"/>
        <v>163.81</v>
      </c>
      <c r="N63" s="15">
        <f t="shared" si="11"/>
        <v>-1.822407555037714</v>
      </c>
      <c r="O63" s="15">
        <f t="shared" si="12"/>
        <v>4.315991902834009</v>
      </c>
      <c r="P63" s="78">
        <f t="shared" si="6"/>
        <v>6.015789473684211</v>
      </c>
      <c r="Q63" s="15">
        <f t="shared" si="13"/>
        <v>6.015789473684211</v>
      </c>
    </row>
    <row r="64" spans="1:17" ht="18" customHeight="1">
      <c r="A64" s="120"/>
      <c r="B64" s="120"/>
      <c r="C64" s="21" t="s">
        <v>26</v>
      </c>
      <c r="D64" s="43"/>
      <c r="E64" s="2">
        <v>0</v>
      </c>
      <c r="F64" s="107"/>
      <c r="G64" s="2">
        <v>0</v>
      </c>
      <c r="H64" s="43">
        <v>0</v>
      </c>
      <c r="I64" s="43">
        <v>0</v>
      </c>
      <c r="J64" s="2">
        <f t="shared" si="8"/>
        <v>0</v>
      </c>
      <c r="K64" s="112">
        <f t="shared" si="2"/>
        <v>0</v>
      </c>
      <c r="L64" s="2">
        <f t="shared" si="9"/>
        <v>0</v>
      </c>
      <c r="M64" s="2">
        <f t="shared" si="10"/>
        <v>0</v>
      </c>
      <c r="N64" s="15">
        <f t="shared" si="11"/>
      </c>
      <c r="O64" s="15">
        <f t="shared" si="12"/>
      </c>
      <c r="P64" s="78">
        <f t="shared" si="6"/>
      </c>
      <c r="Q64" s="15">
        <f t="shared" si="13"/>
      </c>
    </row>
    <row r="65" spans="1:17" ht="17.25" customHeight="1">
      <c r="A65" s="120"/>
      <c r="B65" s="120"/>
      <c r="C65" s="21" t="s">
        <v>46</v>
      </c>
      <c r="D65" s="43">
        <v>11089.480000000005</v>
      </c>
      <c r="E65" s="2">
        <f>715.4</f>
        <v>715.4</v>
      </c>
      <c r="F65" s="107">
        <v>100</v>
      </c>
      <c r="G65" s="2">
        <v>60</v>
      </c>
      <c r="H65" s="43">
        <v>3828.5399999999854</v>
      </c>
      <c r="I65" s="43">
        <v>2889.790000000018</v>
      </c>
      <c r="J65" s="2">
        <f t="shared" si="8"/>
        <v>-7260.94000000002</v>
      </c>
      <c r="K65" s="112">
        <f t="shared" si="2"/>
        <v>3728.5399999999854</v>
      </c>
      <c r="L65" s="2">
        <f t="shared" si="9"/>
        <v>3113.1399999999853</v>
      </c>
      <c r="M65" s="2">
        <f t="shared" si="10"/>
        <v>2829.790000000018</v>
      </c>
      <c r="N65" s="34">
        <f t="shared" si="11"/>
        <v>0.34524071462322703</v>
      </c>
      <c r="O65" s="34">
        <f t="shared" si="12"/>
        <v>48.16316666666697</v>
      </c>
      <c r="P65" s="78">
        <f t="shared" si="6"/>
        <v>38.28539999999985</v>
      </c>
      <c r="Q65" s="34">
        <f t="shared" si="13"/>
        <v>5.351607492311973</v>
      </c>
    </row>
    <row r="66" spans="1:17" ht="18" customHeight="1">
      <c r="A66" s="120"/>
      <c r="B66" s="120"/>
      <c r="C66" s="21" t="s">
        <v>48</v>
      </c>
      <c r="D66" s="43">
        <v>7666.8899999999885</v>
      </c>
      <c r="E66" s="2">
        <f>99053.2</f>
        <v>99053.2</v>
      </c>
      <c r="F66" s="107">
        <v>10909.7</v>
      </c>
      <c r="G66" s="2">
        <v>5689.3</v>
      </c>
      <c r="H66" s="43">
        <v>7726.540000000006</v>
      </c>
      <c r="I66" s="43">
        <v>3631.32</v>
      </c>
      <c r="J66" s="2">
        <f t="shared" si="8"/>
        <v>59.650000000017826</v>
      </c>
      <c r="K66" s="112">
        <f t="shared" si="2"/>
        <v>-3183.1599999999944</v>
      </c>
      <c r="L66" s="2">
        <f t="shared" si="9"/>
        <v>-91326.65999999999</v>
      </c>
      <c r="M66" s="2">
        <f t="shared" si="10"/>
        <v>-2057.98</v>
      </c>
      <c r="N66" s="15">
        <f t="shared" si="11"/>
        <v>1.007780208141765</v>
      </c>
      <c r="O66" s="15">
        <f t="shared" si="12"/>
        <v>0.6382718436362997</v>
      </c>
      <c r="P66" s="78">
        <f t="shared" si="6"/>
        <v>0.7082266240134931</v>
      </c>
      <c r="Q66" s="15">
        <f t="shared" si="13"/>
        <v>0.07800394131638358</v>
      </c>
    </row>
    <row r="67" spans="1:17" ht="18" customHeight="1">
      <c r="A67" s="120"/>
      <c r="B67" s="120"/>
      <c r="C67" s="21" t="s">
        <v>57</v>
      </c>
      <c r="D67" s="43">
        <v>1736.2100000000005</v>
      </c>
      <c r="E67" s="2">
        <v>0</v>
      </c>
      <c r="F67" s="107"/>
      <c r="G67" s="2">
        <v>0</v>
      </c>
      <c r="H67" s="43">
        <v>247.67999999999998</v>
      </c>
      <c r="I67" s="43">
        <v>219.72</v>
      </c>
      <c r="J67" s="2">
        <f t="shared" si="8"/>
        <v>-1488.5300000000004</v>
      </c>
      <c r="K67" s="112">
        <f t="shared" si="2"/>
        <v>247.67999999999998</v>
      </c>
      <c r="L67" s="2">
        <f t="shared" si="9"/>
        <v>247.67999999999998</v>
      </c>
      <c r="M67" s="2">
        <f t="shared" si="10"/>
        <v>219.72</v>
      </c>
      <c r="N67" s="15">
        <f t="shared" si="11"/>
        <v>0.14265555433962476</v>
      </c>
      <c r="O67" s="15">
        <f t="shared" si="12"/>
      </c>
      <c r="P67" s="78">
        <f t="shared" si="6"/>
      </c>
      <c r="Q67" s="15">
        <f t="shared" si="13"/>
      </c>
    </row>
    <row r="68" spans="1:17" s="11" customFormat="1" ht="23.25" customHeight="1">
      <c r="A68" s="122"/>
      <c r="B68" s="122"/>
      <c r="C68" s="117" t="s">
        <v>38</v>
      </c>
      <c r="D68" s="33">
        <f>6.12+9.12</f>
        <v>15.239999999999998</v>
      </c>
      <c r="E68" s="2">
        <v>0</v>
      </c>
      <c r="F68" s="107"/>
      <c r="G68" s="2">
        <v>0</v>
      </c>
      <c r="H68" s="33">
        <v>42.57</v>
      </c>
      <c r="I68" s="33">
        <v>42.57</v>
      </c>
      <c r="J68" s="2">
        <f t="shared" si="8"/>
        <v>27.330000000000002</v>
      </c>
      <c r="K68" s="112">
        <f t="shared" si="2"/>
        <v>42.57</v>
      </c>
      <c r="L68" s="2">
        <f t="shared" si="9"/>
        <v>42.57</v>
      </c>
      <c r="M68" s="2">
        <f t="shared" si="10"/>
        <v>42.57</v>
      </c>
      <c r="N68" s="15">
        <f t="shared" si="11"/>
        <v>2.7933070866141736</v>
      </c>
      <c r="O68" s="15">
        <f t="shared" si="12"/>
      </c>
      <c r="P68" s="78">
        <f t="shared" si="6"/>
      </c>
      <c r="Q68" s="15">
        <f t="shared" si="13"/>
      </c>
    </row>
    <row r="69" spans="1:17" ht="20.25" customHeight="1">
      <c r="A69" s="123"/>
      <c r="B69" s="123"/>
      <c r="C69" s="21" t="s">
        <v>88</v>
      </c>
      <c r="D69" s="43"/>
      <c r="E69" s="2">
        <v>0</v>
      </c>
      <c r="F69" s="107"/>
      <c r="G69" s="2">
        <v>0</v>
      </c>
      <c r="H69" s="43">
        <v>0</v>
      </c>
      <c r="I69" s="43">
        <v>0</v>
      </c>
      <c r="J69" s="2">
        <f t="shared" si="8"/>
        <v>0</v>
      </c>
      <c r="K69" s="112">
        <f t="shared" si="2"/>
        <v>0</v>
      </c>
      <c r="L69" s="2">
        <f aca="true" t="shared" si="14" ref="L69:L82">H69-E69</f>
        <v>0</v>
      </c>
      <c r="M69" s="2">
        <f aca="true" t="shared" si="15" ref="M69:M82">I69-G69</f>
        <v>0</v>
      </c>
      <c r="N69" s="15">
        <f aca="true" t="shared" si="16" ref="N69:N82">_xlfn.IFERROR(H69/D69,"")</f>
      </c>
      <c r="O69" s="15">
        <f aca="true" t="shared" si="17" ref="O69:O78">_xlfn.IFERROR(I69/G69,"")</f>
      </c>
      <c r="P69" s="78">
        <f t="shared" si="6"/>
      </c>
      <c r="Q69" s="15">
        <f t="shared" si="13"/>
      </c>
    </row>
    <row r="70" spans="1:17" ht="15.75">
      <c r="A70" s="120"/>
      <c r="B70" s="120"/>
      <c r="C70" s="85" t="s">
        <v>58</v>
      </c>
      <c r="D70" s="74">
        <f>SUM(D62:D69)</f>
        <v>20365.979999999992</v>
      </c>
      <c r="E70" s="74">
        <f>SUM(E62:E69)</f>
        <v>100072.5</v>
      </c>
      <c r="F70" s="74">
        <f>SUM(F62:F69)</f>
        <v>11101.5</v>
      </c>
      <c r="G70" s="74">
        <f>SUM(G62:G69)</f>
        <v>5819.900000000001</v>
      </c>
      <c r="H70" s="74">
        <f>SUM(H62:H69)</f>
        <v>12153.769999999991</v>
      </c>
      <c r="I70" s="74">
        <f>SUM(I62:I69)</f>
        <v>6996.610000000018</v>
      </c>
      <c r="J70" s="77">
        <f t="shared" si="8"/>
        <v>-8212.210000000001</v>
      </c>
      <c r="K70" s="112">
        <f aca="true" t="shared" si="18" ref="K70:K82">H70-F70</f>
        <v>1052.2699999999913</v>
      </c>
      <c r="L70" s="77">
        <f t="shared" si="14"/>
        <v>-87918.73000000001</v>
      </c>
      <c r="M70" s="77">
        <f t="shared" si="15"/>
        <v>1176.7100000000173</v>
      </c>
      <c r="N70" s="78">
        <f t="shared" si="16"/>
        <v>0.5967682380126071</v>
      </c>
      <c r="O70" s="78">
        <f t="shared" si="17"/>
        <v>1.2021873228062367</v>
      </c>
      <c r="P70" s="78">
        <f aca="true" t="shared" si="19" ref="P70:P82">_xlfn.IFERROR(H70/F70,"")</f>
        <v>1.094786290140971</v>
      </c>
      <c r="Q70" s="26">
        <f t="shared" si="13"/>
        <v>0.12144964900447167</v>
      </c>
    </row>
    <row r="71" spans="1:17" s="19" customFormat="1" ht="23.25" customHeight="1">
      <c r="A71" s="124" t="s">
        <v>59</v>
      </c>
      <c r="B71" s="124"/>
      <c r="C71" s="124"/>
      <c r="D71" s="30">
        <f>D5+D21</f>
        <v>1686304.21</v>
      </c>
      <c r="E71" s="30">
        <f>E5+E21</f>
        <v>28731587.9</v>
      </c>
      <c r="F71" s="30">
        <f>F5+F21</f>
        <v>3714960.8</v>
      </c>
      <c r="G71" s="30">
        <f>G5+G21</f>
        <v>2191866.5</v>
      </c>
      <c r="H71" s="30">
        <f>H5+H21</f>
        <v>2137928.9000000004</v>
      </c>
      <c r="I71" s="30">
        <f>I5+I21</f>
        <v>738290.5899999999</v>
      </c>
      <c r="J71" s="31">
        <f t="shared" si="8"/>
        <v>451624.6900000004</v>
      </c>
      <c r="K71" s="104">
        <f t="shared" si="18"/>
        <v>-1577031.8999999994</v>
      </c>
      <c r="L71" s="31">
        <f t="shared" si="14"/>
        <v>-26593659</v>
      </c>
      <c r="M71" s="31">
        <f t="shared" si="15"/>
        <v>-1453575.9100000001</v>
      </c>
      <c r="N71" s="29">
        <f t="shared" si="16"/>
        <v>1.267819226994636</v>
      </c>
      <c r="O71" s="29">
        <f t="shared" si="17"/>
        <v>0.3368319147174337</v>
      </c>
      <c r="P71" s="57">
        <f t="shared" si="19"/>
        <v>0.5754916444878774</v>
      </c>
      <c r="Q71" s="29">
        <f t="shared" si="13"/>
        <v>0.07441039831982278</v>
      </c>
    </row>
    <row r="72" spans="1:17" s="50" customFormat="1" ht="28.5" customHeight="1">
      <c r="A72" s="94"/>
      <c r="B72" s="95"/>
      <c r="C72" s="47" t="s">
        <v>60</v>
      </c>
      <c r="D72" s="45">
        <f>SUM(D73:D81)</f>
        <v>1415380.3200000003</v>
      </c>
      <c r="E72" s="45">
        <f>SUM(E73:E81)</f>
        <v>22148004.400000002</v>
      </c>
      <c r="F72" s="45">
        <f>SUM(F73:F81)</f>
        <v>1906366.4900000002</v>
      </c>
      <c r="G72" s="45">
        <f>SUM(G73:G81)</f>
        <v>1262709.76</v>
      </c>
      <c r="H72" s="45">
        <f>SUM(H73:H81)</f>
        <v>1650771.7700000005</v>
      </c>
      <c r="I72" s="45">
        <f>SUM(I73:I81)</f>
        <v>1386201.95</v>
      </c>
      <c r="J72" s="31">
        <f t="shared" si="8"/>
        <v>235391.4500000002</v>
      </c>
      <c r="K72" s="104">
        <f t="shared" si="18"/>
        <v>-255594.71999999974</v>
      </c>
      <c r="L72" s="31">
        <f t="shared" si="14"/>
        <v>-20497232.630000003</v>
      </c>
      <c r="M72" s="31">
        <f t="shared" si="15"/>
        <v>123492.18999999994</v>
      </c>
      <c r="N72" s="29">
        <f t="shared" si="16"/>
        <v>1.1663096813441636</v>
      </c>
      <c r="O72" s="29">
        <f t="shared" si="17"/>
        <v>1.0977993470170058</v>
      </c>
      <c r="P72" s="57">
        <f t="shared" si="19"/>
        <v>0.8659257171479133</v>
      </c>
      <c r="Q72" s="29">
        <f t="shared" si="13"/>
        <v>0.07453365730774374</v>
      </c>
    </row>
    <row r="73" spans="1:17" ht="19.5" customHeight="1">
      <c r="A73" s="129"/>
      <c r="B73" s="125"/>
      <c r="C73" s="6" t="s">
        <v>61</v>
      </c>
      <c r="D73" s="33">
        <v>258324</v>
      </c>
      <c r="E73" s="2">
        <v>284166.8</v>
      </c>
      <c r="F73" s="107"/>
      <c r="G73" s="2"/>
      <c r="H73" s="33">
        <v>108345.1</v>
      </c>
      <c r="I73" s="3">
        <v>108345.1</v>
      </c>
      <c r="J73" s="43">
        <f t="shared" si="8"/>
        <v>-149978.9</v>
      </c>
      <c r="K73" s="112">
        <f t="shared" si="18"/>
        <v>108345.1</v>
      </c>
      <c r="L73" s="2">
        <f>H73-E73</f>
        <v>-175821.69999999998</v>
      </c>
      <c r="M73" s="2">
        <f t="shared" si="15"/>
        <v>108345.1</v>
      </c>
      <c r="N73" s="28">
        <f t="shared" si="16"/>
        <v>0.41941554017435473</v>
      </c>
      <c r="O73" s="28">
        <f t="shared" si="17"/>
      </c>
      <c r="P73" s="78">
        <f t="shared" si="19"/>
      </c>
      <c r="Q73" s="28">
        <f t="shared" si="13"/>
        <v>0.38127290028251015</v>
      </c>
    </row>
    <row r="74" spans="1:17" ht="18" customHeight="1">
      <c r="A74" s="130"/>
      <c r="B74" s="126"/>
      <c r="C74" s="6" t="s">
        <v>62</v>
      </c>
      <c r="D74" s="33">
        <v>19739.700000000004</v>
      </c>
      <c r="E74" s="2">
        <f>5762918.2</f>
        <v>5762918.2</v>
      </c>
      <c r="F74" s="107">
        <v>66580.97</v>
      </c>
      <c r="G74" s="23">
        <v>59326.47</v>
      </c>
      <c r="H74" s="33">
        <v>66580.97</v>
      </c>
      <c r="I74" s="33">
        <v>59326.47</v>
      </c>
      <c r="J74" s="43">
        <f t="shared" si="8"/>
        <v>46841.27</v>
      </c>
      <c r="K74" s="112">
        <f t="shared" si="18"/>
        <v>0</v>
      </c>
      <c r="L74" s="2">
        <f t="shared" si="14"/>
        <v>-5696337.23</v>
      </c>
      <c r="M74" s="2">
        <f t="shared" si="15"/>
        <v>0</v>
      </c>
      <c r="N74" s="28">
        <f t="shared" si="16"/>
        <v>3.372947410548285</v>
      </c>
      <c r="O74" s="28">
        <f t="shared" si="17"/>
        <v>1</v>
      </c>
      <c r="P74" s="78">
        <f t="shared" si="19"/>
        <v>1</v>
      </c>
      <c r="Q74" s="28">
        <f t="shared" si="13"/>
        <v>0.011553342887983382</v>
      </c>
    </row>
    <row r="75" spans="1:17" ht="18" customHeight="1">
      <c r="A75" s="130"/>
      <c r="B75" s="126"/>
      <c r="C75" s="6" t="s">
        <v>63</v>
      </c>
      <c r="D75" s="33">
        <v>1219935.4300000002</v>
      </c>
      <c r="E75" s="2">
        <v>13564930.3</v>
      </c>
      <c r="F75" s="107">
        <v>1696988.32</v>
      </c>
      <c r="G75" s="23">
        <v>1060586.0899999999</v>
      </c>
      <c r="H75" s="33">
        <v>1696988.32</v>
      </c>
      <c r="I75" s="33">
        <v>1060586.0899999999</v>
      </c>
      <c r="J75" s="43">
        <f t="shared" si="8"/>
        <v>477052.8899999999</v>
      </c>
      <c r="K75" s="112">
        <f t="shared" si="18"/>
        <v>0</v>
      </c>
      <c r="L75" s="2">
        <f t="shared" si="14"/>
        <v>-11867941.98</v>
      </c>
      <c r="M75" s="2">
        <f t="shared" si="15"/>
        <v>0</v>
      </c>
      <c r="N75" s="28">
        <f t="shared" si="16"/>
        <v>1.3910476556943672</v>
      </c>
      <c r="O75" s="28">
        <f t="shared" si="17"/>
        <v>1</v>
      </c>
      <c r="P75" s="78">
        <f t="shared" si="19"/>
        <v>1</v>
      </c>
      <c r="Q75" s="28">
        <f t="shared" si="13"/>
        <v>0.12510114556209698</v>
      </c>
    </row>
    <row r="76" spans="1:17" ht="18" customHeight="1">
      <c r="A76" s="130"/>
      <c r="B76" s="126"/>
      <c r="C76" s="84" t="s">
        <v>64</v>
      </c>
      <c r="D76" s="33">
        <v>381898.15</v>
      </c>
      <c r="E76" s="2">
        <f>2535989.1</f>
        <v>2535989.1</v>
      </c>
      <c r="F76" s="107">
        <v>34452.1</v>
      </c>
      <c r="G76" s="2">
        <v>34452.1</v>
      </c>
      <c r="H76" s="33">
        <v>34452.1</v>
      </c>
      <c r="I76" s="33">
        <v>34452.1</v>
      </c>
      <c r="J76" s="43">
        <f t="shared" si="8"/>
        <v>-347446.05000000005</v>
      </c>
      <c r="K76" s="112">
        <f t="shared" si="18"/>
        <v>0</v>
      </c>
      <c r="L76" s="2">
        <f t="shared" si="14"/>
        <v>-2501537</v>
      </c>
      <c r="M76" s="2">
        <f t="shared" si="15"/>
        <v>0</v>
      </c>
      <c r="N76" s="28">
        <f t="shared" si="16"/>
        <v>0.09021279626518221</v>
      </c>
      <c r="O76" s="28">
        <f t="shared" si="17"/>
        <v>1</v>
      </c>
      <c r="P76" s="78">
        <f t="shared" si="19"/>
        <v>1</v>
      </c>
      <c r="Q76" s="28">
        <f t="shared" si="13"/>
        <v>0.013585271324707191</v>
      </c>
    </row>
    <row r="77" spans="1:17" s="11" customFormat="1" ht="31.5">
      <c r="A77" s="130"/>
      <c r="B77" s="126"/>
      <c r="C77" s="114" t="s">
        <v>80</v>
      </c>
      <c r="D77" s="33"/>
      <c r="E77" s="2"/>
      <c r="F77" s="107"/>
      <c r="G77" s="2"/>
      <c r="H77" s="33">
        <v>45.150000000000006</v>
      </c>
      <c r="I77" s="33">
        <v>20.900000000000002</v>
      </c>
      <c r="J77" s="33">
        <f t="shared" si="8"/>
        <v>45.150000000000006</v>
      </c>
      <c r="K77" s="115">
        <f t="shared" si="18"/>
        <v>45.150000000000006</v>
      </c>
      <c r="L77" s="2">
        <f t="shared" si="14"/>
        <v>45.150000000000006</v>
      </c>
      <c r="M77" s="2">
        <f t="shared" si="15"/>
        <v>20.900000000000002</v>
      </c>
      <c r="N77" s="28">
        <f t="shared" si="16"/>
      </c>
      <c r="O77" s="28">
        <f t="shared" si="17"/>
      </c>
      <c r="P77" s="116">
        <f t="shared" si="19"/>
      </c>
      <c r="Q77" s="28">
        <f t="shared" si="13"/>
      </c>
    </row>
    <row r="78" spans="1:17" s="11" customFormat="1" ht="21" customHeight="1">
      <c r="A78" s="130"/>
      <c r="B78" s="126"/>
      <c r="C78" s="118" t="s">
        <v>65</v>
      </c>
      <c r="D78" s="33"/>
      <c r="E78" s="2"/>
      <c r="F78" s="107"/>
      <c r="G78" s="2"/>
      <c r="H78" s="33">
        <v>58676.62</v>
      </c>
      <c r="I78" s="33">
        <v>0</v>
      </c>
      <c r="J78" s="33">
        <f t="shared" si="8"/>
        <v>58676.62</v>
      </c>
      <c r="K78" s="115">
        <f t="shared" si="18"/>
        <v>58676.62</v>
      </c>
      <c r="L78" s="2">
        <f t="shared" si="14"/>
        <v>58676.62</v>
      </c>
      <c r="M78" s="2">
        <f t="shared" si="15"/>
        <v>0</v>
      </c>
      <c r="N78" s="28">
        <f t="shared" si="16"/>
      </c>
      <c r="O78" s="28">
        <f t="shared" si="17"/>
      </c>
      <c r="P78" s="116">
        <f t="shared" si="19"/>
      </c>
      <c r="Q78" s="28">
        <f t="shared" si="13"/>
      </c>
    </row>
    <row r="79" spans="1:17" ht="22.5" customHeight="1">
      <c r="A79" s="131"/>
      <c r="B79" s="127"/>
      <c r="C79" s="14" t="s">
        <v>82</v>
      </c>
      <c r="D79" s="49"/>
      <c r="E79" s="22"/>
      <c r="F79" s="109"/>
      <c r="G79" s="22"/>
      <c r="H79" s="101">
        <v>0</v>
      </c>
      <c r="I79" s="101">
        <v>0</v>
      </c>
      <c r="J79" s="43">
        <f t="shared" si="8"/>
        <v>0</v>
      </c>
      <c r="K79" s="112">
        <f t="shared" si="18"/>
        <v>0</v>
      </c>
      <c r="L79" s="1">
        <f t="shared" si="14"/>
        <v>0</v>
      </c>
      <c r="M79" s="1">
        <f t="shared" si="15"/>
        <v>0</v>
      </c>
      <c r="N79" s="25">
        <f t="shared" si="16"/>
      </c>
      <c r="O79" s="25"/>
      <c r="P79" s="57">
        <f t="shared" si="19"/>
      </c>
      <c r="Q79" s="16">
        <f t="shared" si="13"/>
      </c>
    </row>
    <row r="80" spans="1:17" s="11" customFormat="1" ht="34.5" customHeight="1">
      <c r="A80" s="130"/>
      <c r="B80" s="126"/>
      <c r="C80" s="117" t="s">
        <v>66</v>
      </c>
      <c r="D80" s="33">
        <v>222754.27</v>
      </c>
      <c r="E80" s="2"/>
      <c r="F80" s="107"/>
      <c r="G80" s="2">
        <v>0</v>
      </c>
      <c r="H80" s="33">
        <v>157259.39</v>
      </c>
      <c r="I80" s="33">
        <v>-61857.520000000004</v>
      </c>
      <c r="J80" s="33">
        <f t="shared" si="8"/>
        <v>-65494.879999999976</v>
      </c>
      <c r="K80" s="115">
        <f t="shared" si="18"/>
        <v>157259.39</v>
      </c>
      <c r="L80" s="2">
        <f t="shared" si="14"/>
        <v>157259.39</v>
      </c>
      <c r="M80" s="2">
        <f t="shared" si="15"/>
        <v>-61857.520000000004</v>
      </c>
      <c r="N80" s="28">
        <f t="shared" si="16"/>
        <v>0.7059769942906146</v>
      </c>
      <c r="O80" s="28">
        <f>_xlfn.IFERROR(I80/G80,"")</f>
      </c>
      <c r="P80" s="116">
        <f t="shared" si="19"/>
      </c>
      <c r="Q80" s="28">
        <f t="shared" si="13"/>
      </c>
    </row>
    <row r="81" spans="1:17" s="11" customFormat="1" ht="18" customHeight="1">
      <c r="A81" s="132"/>
      <c r="B81" s="128"/>
      <c r="C81" s="117" t="s">
        <v>67</v>
      </c>
      <c r="D81" s="33">
        <v>-687271.23</v>
      </c>
      <c r="E81" s="2">
        <v>0</v>
      </c>
      <c r="F81" s="107">
        <v>108345.1</v>
      </c>
      <c r="G81" s="2">
        <v>108345.1</v>
      </c>
      <c r="H81" s="33">
        <v>-471575.88</v>
      </c>
      <c r="I81" s="33">
        <v>185328.81</v>
      </c>
      <c r="J81" s="33">
        <f t="shared" si="8"/>
        <v>215695.34999999998</v>
      </c>
      <c r="K81" s="115">
        <f t="shared" si="18"/>
        <v>-579920.98</v>
      </c>
      <c r="L81" s="2">
        <f t="shared" si="14"/>
        <v>-471575.88</v>
      </c>
      <c r="M81" s="2">
        <f t="shared" si="15"/>
        <v>76983.70999999999</v>
      </c>
      <c r="N81" s="28">
        <f t="shared" si="16"/>
        <v>0.6861568757941461</v>
      </c>
      <c r="O81" s="28">
        <f>_xlfn.IFERROR(I81/G81,"")</f>
        <v>1.7105416857799751</v>
      </c>
      <c r="P81" s="116">
        <f t="shared" si="19"/>
        <v>-4.352535370773574</v>
      </c>
      <c r="Q81" s="28">
        <f t="shared" si="13"/>
      </c>
    </row>
    <row r="82" spans="1:17" s="50" customFormat="1" ht="30" customHeight="1">
      <c r="A82" s="119" t="s">
        <v>68</v>
      </c>
      <c r="B82" s="119"/>
      <c r="C82" s="119"/>
      <c r="D82" s="46">
        <f>D71+D72</f>
        <v>3101684.5300000003</v>
      </c>
      <c r="E82" s="46">
        <f>E71+E72</f>
        <v>50879592.3</v>
      </c>
      <c r="F82" s="46">
        <f>F71+F72</f>
        <v>5621327.29</v>
      </c>
      <c r="G82" s="46">
        <f>G71+G72</f>
        <v>3454576.26</v>
      </c>
      <c r="H82" s="46">
        <f>H71+H72</f>
        <v>3788700.670000001</v>
      </c>
      <c r="I82" s="46">
        <f>I71+I72</f>
        <v>2124492.54</v>
      </c>
      <c r="J82" s="31">
        <f t="shared" si="8"/>
        <v>687016.1400000006</v>
      </c>
      <c r="K82" s="104">
        <f t="shared" si="18"/>
        <v>-1832626.6199999992</v>
      </c>
      <c r="L82" s="48">
        <f t="shared" si="14"/>
        <v>-47090891.629999995</v>
      </c>
      <c r="M82" s="48">
        <f t="shared" si="15"/>
        <v>-1330083.7199999997</v>
      </c>
      <c r="N82" s="29">
        <f t="shared" si="16"/>
        <v>1.221497748515385</v>
      </c>
      <c r="O82" s="29">
        <f>_xlfn.IFERROR(I82/G82,"")</f>
        <v>0.6149791986354934</v>
      </c>
      <c r="P82" s="57">
        <f t="shared" si="19"/>
        <v>0.6739868494652267</v>
      </c>
      <c r="Q82" s="29">
        <f t="shared" si="13"/>
        <v>0.07446405324281659</v>
      </c>
    </row>
    <row r="83" spans="1:17" ht="15.75">
      <c r="A83" s="7" t="s">
        <v>69</v>
      </c>
      <c r="B83" s="8"/>
      <c r="C83" s="9"/>
      <c r="D83" s="10"/>
      <c r="E83" s="10"/>
      <c r="F83" s="10"/>
      <c r="G83" s="10"/>
      <c r="H83" s="59"/>
      <c r="I83" s="59"/>
      <c r="J83" s="40"/>
      <c r="K83" s="40"/>
      <c r="L83" s="10"/>
      <c r="M83" s="10"/>
      <c r="N83" s="10"/>
      <c r="O83" s="11"/>
      <c r="P83" s="11"/>
      <c r="Q83" s="11"/>
    </row>
    <row r="85" spans="8:11" ht="12.75">
      <c r="H85" s="20"/>
      <c r="I85" s="20"/>
      <c r="J85" s="42"/>
      <c r="K85" s="42"/>
    </row>
    <row r="86" spans="8:11" ht="12.75">
      <c r="H86" s="20"/>
      <c r="I86" s="20"/>
      <c r="J86" s="42"/>
      <c r="K86" s="42"/>
    </row>
    <row r="87" spans="8:11" ht="12.75">
      <c r="H87" s="20"/>
      <c r="I87" s="20"/>
      <c r="J87" s="42"/>
      <c r="K87" s="42"/>
    </row>
    <row r="88" spans="8:11" ht="12.75">
      <c r="H88" s="20"/>
      <c r="I88" s="20"/>
      <c r="J88" s="42"/>
      <c r="K88" s="42"/>
    </row>
    <row r="89" spans="8:11" ht="12.75">
      <c r="H89" s="20"/>
      <c r="I89" s="20"/>
      <c r="J89" s="42"/>
      <c r="K89" s="42"/>
    </row>
  </sheetData>
  <sheetProtection/>
  <autoFilter ref="A4:Q86"/>
  <mergeCells count="36">
    <mergeCell ref="A26:A28"/>
    <mergeCell ref="B26:B28"/>
    <mergeCell ref="H3:I3"/>
    <mergeCell ref="L3:M3"/>
    <mergeCell ref="A22:A25"/>
    <mergeCell ref="B22:B25"/>
    <mergeCell ref="A6:A16"/>
    <mergeCell ref="A21:B21"/>
    <mergeCell ref="A59:A61"/>
    <mergeCell ref="B59:B61"/>
    <mergeCell ref="A29:A36"/>
    <mergeCell ref="B29:B36"/>
    <mergeCell ref="A37:A48"/>
    <mergeCell ref="B37:B48"/>
    <mergeCell ref="A49:A50"/>
    <mergeCell ref="B49:B50"/>
    <mergeCell ref="A56:A58"/>
    <mergeCell ref="B56:B58"/>
    <mergeCell ref="B51:B55"/>
    <mergeCell ref="A51:A55"/>
    <mergeCell ref="A1:Q1"/>
    <mergeCell ref="A3:A4"/>
    <mergeCell ref="B3:B4"/>
    <mergeCell ref="C3:C4"/>
    <mergeCell ref="E3:G3"/>
    <mergeCell ref="Q3:Q4"/>
    <mergeCell ref="O3:O4"/>
    <mergeCell ref="D3:D4"/>
    <mergeCell ref="N3:N4"/>
    <mergeCell ref="P3:P4"/>
    <mergeCell ref="A82:C82"/>
    <mergeCell ref="A62:A70"/>
    <mergeCell ref="B62:B70"/>
    <mergeCell ref="A71:C71"/>
    <mergeCell ref="B73:B81"/>
    <mergeCell ref="A73:A81"/>
  </mergeCells>
  <printOptions/>
  <pageMargins left="0" right="0" top="0.65" bottom="0.1968503937007874" header="0.1968503937007874" footer="0.15748031496062992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2024-02-12T08:15:05Z</cp:lastPrinted>
  <dcterms:created xsi:type="dcterms:W3CDTF">2015-02-26T11:08:47Z</dcterms:created>
  <dcterms:modified xsi:type="dcterms:W3CDTF">2024-02-12T08:53:49Z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