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25.03.2024" sheetId="1" r:id="rId1"/>
  </sheets>
  <definedNames>
    <definedName name="_xlfn.IFERROR" hidden="1">#NAME?</definedName>
    <definedName name="_xlnm._FilterDatabase" localSheetId="0" hidden="1">'25.03.2024'!$A$4:$R$86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'25.03.2024'!$3:$4</definedName>
    <definedName name="о">#REF!</definedName>
    <definedName name="_xlnm.Print_Area" localSheetId="0">'25.03.2024'!$A$1:$R$83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<sst xmlns="http://schemas.openxmlformats.org/spreadsheetml/2006/main" count="199" uniqueCount="169">
  <si>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</si>
  <si>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</si>
  <si>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</si>
  <si>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</si>
  <si>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</si>
  <si>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</si>
  <si>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</si>
  <si>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</si>
  <si>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</si>
  <si>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</si>
  <si>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</si>
  <si>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</si>
  <si>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</si>
  <si>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</si>
  <si>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</si>
  <si>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</si>
  <si>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</si>
  <si>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</si>
  <si>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</si>
  <si>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</si>
  <si>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</si>
  <si>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</si>
  <si>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</si>
  <si>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</si>
  <si>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</si>
  <si>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</si>
  <si>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</si>
  <si>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</si>
  <si>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</si>
  <si>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</si>
  <si>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</si>
  <si>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</si>
  <si>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</si>
  <si>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</si>
  <si>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</si>
  <si>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</si>
  <si>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</si>
  <si>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</si>
  <si>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</si>
  <si>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</si>
  <si>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</si>
  <si>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</si>
  <si>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</si>
  <si>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</si>
  <si>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</si>
  <si>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</si>
  <si>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</si>
  <si>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</si>
  <si>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</si>
  <si>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</si>
  <si>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</si>
  <si>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</si>
  <si>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</si>
  <si>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</si>
  <si>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</si>
  <si>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</si>
  <si>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</si>
  <si>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</si>
  <si>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</si>
  <si>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</si>
  <si>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</si>
  <si>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</si>
  <si>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</si>
  <si>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</si>
  <si>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</si>
  <si>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</si>
  <si>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</si>
  <si>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</si>
  <si>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</si>
  <si>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</si>
  <si>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</si>
  <si>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</si>
  <si>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</si>
  <si>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</si>
  <si>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</si>
  <si>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</si>
  <si>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</si>
  <si>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</si>
  <si>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</si>
  <si>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</si>
  <si>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</si>
  <si>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</si>
  <si>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</si>
  <si>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</si>
  <si>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</si>
  <si>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</si>
  <si>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</si>
  <si>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</si>
  <si>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</si>
  <si>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</si>
  <si>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</si>
  <si>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</si>
  <si>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</si>
  <si>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</si>
  <si>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</si>
  <si>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</si>
  <si>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</si>
  <si>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</si>
  <si>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</si>
  <si>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</si>
  <si>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</si>
  <si>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</si>
  <si>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</si>
  <si>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11705,  11109,  11402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</si>
  <si>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</si>
  <si>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</si>
  <si>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</si>
  <si>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</si>
  <si>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</si>
  <si>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t>108 07110, 108 02020</t>
  </si>
  <si>
    <t>111 01040 04 0000 120</t>
  </si>
  <si>
    <t>111 05074 04 0000 120</t>
  </si>
  <si>
    <t>111 09044 04 0000 120</t>
  </si>
  <si>
    <t>113 02000 04 0010 130</t>
  </si>
  <si>
    <t>113 02000 04 0015 130</t>
  </si>
  <si>
    <t>113 02000 04 0020 130</t>
  </si>
  <si>
    <t>113 02994 04 0030 130</t>
  </si>
  <si>
    <t>111 07014 04 0000 120</t>
  </si>
  <si>
    <t>112 00000 00 0000 120</t>
  </si>
  <si>
    <t>117 05040 04 3000 180</t>
  </si>
  <si>
    <t>108 07130 01 0000 110</t>
  </si>
  <si>
    <t>108 07173 01 0000 110</t>
  </si>
  <si>
    <t>108 07150 01 0000 110</t>
  </si>
  <si>
    <t>111 05092 04 0000 120</t>
  </si>
  <si>
    <t>116 00000 00 0000 000</t>
  </si>
  <si>
    <t>111 09080 04 1000 120, 117 05040 04 1000 180</t>
  </si>
  <si>
    <t>111 09080 04 2000 120,  117 05040 04 2000 180</t>
  </si>
  <si>
    <t>111 0501204 1020 120,  111 0502404 1020 120</t>
  </si>
  <si>
    <t>111 05024 04 1000 120</t>
  </si>
  <si>
    <t>111 05012 04 1000 120</t>
  </si>
  <si>
    <t>111 05300 00 0000 120</t>
  </si>
  <si>
    <t>111 05400 00 0000 120</t>
  </si>
  <si>
    <t>114 06012 04 0000 430</t>
  </si>
  <si>
    <t>114 06024 04 0000 430</t>
  </si>
  <si>
    <t>114 06312 04 0000 430</t>
  </si>
  <si>
    <t>114 06324 04 0000 430</t>
  </si>
  <si>
    <t>117 05040 04 0000 180,  111 09044 04 0000 120</t>
  </si>
  <si>
    <t>111 05000 04 0000 120</t>
  </si>
  <si>
    <t>113 00000 04 0000 130</t>
  </si>
  <si>
    <t>117 01040 04 0000 180</t>
  </si>
  <si>
    <t>117 15020 04 0000 180</t>
  </si>
  <si>
    <t>202 10000 00 0000 000</t>
  </si>
  <si>
    <t>202 20000 00 0000 000</t>
  </si>
  <si>
    <t>202 30000 00 0000 000</t>
  </si>
  <si>
    <t>202 40000 00 0000 000</t>
  </si>
  <si>
    <t>203 04099 04 0 000 150</t>
  </si>
  <si>
    <t>207 04050 04 0000 150</t>
  </si>
  <si>
    <t>208 04000 04 0000 150</t>
  </si>
  <si>
    <t>218 04000 00 0000 000</t>
  </si>
  <si>
    <t>219 04000 00 0000 000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</si>
  <si>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</si>
  <si>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</si>
  <si>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</si>
  <si>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</si>
  <si>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</si>
  <si>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</si>
  <si>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факта отч.пер. от плана отч.пер.</t>
  </si>
  <si>
    <t>Исполн. плана отч. периода</t>
  </si>
  <si>
    <t>114 13 040 04 0000 410 (114 02043 04 0000 410)</t>
  </si>
  <si>
    <t>114 13 040 04 1000 410 (114 02043 04 1000 410)</t>
  </si>
  <si>
    <t>114 13 040 04 2000 410 (114 02043 04 2000 410)</t>
  </si>
  <si>
    <t>114 13 040 04 3000 410 (114 02043 04 3000 410)</t>
  </si>
  <si>
    <t xml:space="preserve">2024 год    </t>
  </si>
  <si>
    <t xml:space="preserve">Доходы  от приватизации мун. имущества, в т.ч.: </t>
  </si>
  <si>
    <t>январь-март</t>
  </si>
  <si>
    <t>Март</t>
  </si>
  <si>
    <t>факта за март от плана марта</t>
  </si>
  <si>
    <r>
      <t>с нач. года на 25.03.2024 (по 22.03.2024</t>
    </r>
    <r>
      <rPr>
        <sz val="12"/>
        <rFont val="Times New Roman"/>
        <family val="1"/>
      </rPr>
      <t xml:space="preserve"> вкл.) </t>
    </r>
  </si>
  <si>
    <t>Факт с нач. 2023 года       по 22.03.2023 (в соп.усл.с 2024г)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</si>
</sst>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5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9" fillId="0" borderId="0" xfId="0" applyNumberFormat="1" applyFont="1" applyFill="1" applyAlignment="1">
      <alignment horizontal="left"/>
    </xf>
    <xf numFmtId="168" fontId="49" fillId="0" borderId="0" xfId="0" applyNumberFormat="1" applyFont="1" applyFill="1" applyAlignment="1">
      <alignment/>
    </xf>
    <xf numFmtId="164" fontId="49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168" fontId="13" fillId="0" borderId="12" xfId="0" applyNumberFormat="1" applyFont="1" applyFill="1" applyBorder="1" applyAlignment="1">
      <alignment horizontal="center" wrapText="1"/>
    </xf>
    <xf numFmtId="168" fontId="50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8" fontId="50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164" fontId="3" fillId="33" borderId="10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9" fontId="3" fillId="0" borderId="10" xfId="164" applyFont="1" applyFill="1" applyBorder="1" applyAlignment="1" applyProtection="1">
      <alignment horizontal="center" vertical="top" wrapText="1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4" applyFont="1" applyFill="1" applyBorder="1" applyAlignment="1" applyProtection="1">
      <alignment horizontal="center" vertical="top" wrapText="1"/>
      <protection/>
    </xf>
    <xf numFmtId="9" fontId="3" fillId="0" borderId="15" xfId="164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1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Обычный 97" xfId="157"/>
    <cellStyle name="Обычный 98" xfId="158"/>
    <cellStyle name="Обычный 99" xfId="159"/>
    <cellStyle name="Плохой" xfId="160"/>
    <cellStyle name="Пояснение" xfId="161"/>
    <cellStyle name="Примечание" xfId="162"/>
    <cellStyle name="Percent" xfId="163"/>
    <cellStyle name="Процентный 2" xfId="164"/>
    <cellStyle name="Процентный 2 2" xfId="165"/>
    <cellStyle name="Связанная ячейка" xfId="166"/>
    <cellStyle name="Текст предупреждения" xfId="167"/>
    <cellStyle name="Comma" xfId="168"/>
    <cellStyle name="Comma [0]" xfId="169"/>
    <cellStyle name="Финансовый 2" xfId="170"/>
    <cellStyle name="Финансовый 3" xfId="171"/>
    <cellStyle name="Хороший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90" zoomScaleNormal="90" zoomScalePageLayoutView="0" workbookViewId="0" topLeftCell="A1">
      <pane xSplit="4" ySplit="4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76" sqref="I76"/>
    </sheetView>
  </sheetViews>
  <sheetFormatPr defaultColWidth="9.125" defaultRowHeight="12.75"/>
  <cols>
    <col min="1" max="1" width="8.875" style="14" customWidth="1"/>
    <col min="2" max="2" width="10.75390625" style="14" customWidth="1"/>
    <col min="3" max="3" width="21.375" style="29" hidden="1" customWidth="1"/>
    <col min="4" max="4" width="64.375" style="14" customWidth="1"/>
    <col min="5" max="5" width="15.75390625" style="17" customWidth="1"/>
    <col min="6" max="6" width="14.375" style="14" bestFit="1" customWidth="1"/>
    <col min="7" max="7" width="13.875" style="14" customWidth="1"/>
    <col min="8" max="8" width="13.875" style="17" bestFit="1" customWidth="1"/>
    <col min="9" max="9" width="14.875" style="66" customWidth="1"/>
    <col min="10" max="10" width="14.125" style="66" customWidth="1"/>
    <col min="11" max="11" width="13.375" style="49" customWidth="1"/>
    <col min="12" max="12" width="15.00390625" style="49" customWidth="1"/>
    <col min="13" max="13" width="14.25390625" style="14" customWidth="1"/>
    <col min="14" max="14" width="14.125" style="14" customWidth="1"/>
    <col min="15" max="15" width="11.625" style="14" customWidth="1"/>
    <col min="16" max="16" width="11.00390625" style="14" customWidth="1"/>
    <col min="17" max="17" width="11.125" style="14" customWidth="1"/>
    <col min="18" max="18" width="12.75390625" style="14" customWidth="1"/>
    <col min="19" max="19" width="9.125" style="14" customWidth="1"/>
    <col min="20" max="20" width="15.625" style="14" bestFit="1" customWidth="1"/>
    <col min="21" max="16384" width="9.125" style="14" customWidth="1"/>
  </cols>
  <sheetData>
    <row r="1" spans="1:18" ht="20.25" customHeight="1">
      <c r="A1" s="156" t="s">
        <v>150</v>
      </c>
      <c r="B1" s="156"/>
      <c r="C1" s="157"/>
      <c r="D1" s="156"/>
      <c r="E1" s="158"/>
      <c r="F1" s="156"/>
      <c r="G1" s="156"/>
      <c r="H1" s="158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20.25" customHeight="1">
      <c r="A2" s="12"/>
      <c r="B2" s="67"/>
      <c r="C2" s="21"/>
      <c r="D2" s="68"/>
      <c r="E2" s="69"/>
      <c r="F2" s="68"/>
      <c r="G2" s="111"/>
      <c r="H2" s="69"/>
      <c r="I2" s="70"/>
      <c r="J2" s="71"/>
      <c r="K2" s="71"/>
      <c r="L2" s="116"/>
      <c r="M2" s="68"/>
      <c r="N2" s="68"/>
      <c r="O2" s="72"/>
      <c r="P2" s="72"/>
      <c r="Q2" s="72"/>
      <c r="R2" s="11" t="s">
        <v>0</v>
      </c>
    </row>
    <row r="3" spans="1:18" ht="20.25" customHeight="1">
      <c r="A3" s="159" t="s">
        <v>1</v>
      </c>
      <c r="B3" s="142" t="s">
        <v>2</v>
      </c>
      <c r="C3" s="160" t="s">
        <v>3</v>
      </c>
      <c r="D3" s="162" t="s">
        <v>4</v>
      </c>
      <c r="E3" s="169" t="s">
        <v>168</v>
      </c>
      <c r="F3" s="164" t="s">
        <v>151</v>
      </c>
      <c r="G3" s="165"/>
      <c r="H3" s="166"/>
      <c r="I3" s="186" t="s">
        <v>152</v>
      </c>
      <c r="J3" s="187"/>
      <c r="K3" s="73"/>
      <c r="L3" s="117"/>
      <c r="M3" s="188" t="s">
        <v>108</v>
      </c>
      <c r="N3" s="166"/>
      <c r="O3" s="171" t="s">
        <v>155</v>
      </c>
      <c r="P3" s="168" t="s">
        <v>104</v>
      </c>
      <c r="Q3" s="172" t="s">
        <v>157</v>
      </c>
      <c r="R3" s="167" t="s">
        <v>101</v>
      </c>
    </row>
    <row r="4" spans="1:18" ht="61.5" customHeight="1">
      <c r="A4" s="159"/>
      <c r="B4" s="142"/>
      <c r="C4" s="161"/>
      <c r="D4" s="163"/>
      <c r="E4" s="170"/>
      <c r="F4" s="74" t="s">
        <v>162</v>
      </c>
      <c r="G4" s="110" t="s">
        <v>164</v>
      </c>
      <c r="H4" s="74" t="s">
        <v>165</v>
      </c>
      <c r="I4" s="75" t="s">
        <v>167</v>
      </c>
      <c r="J4" s="74" t="s">
        <v>165</v>
      </c>
      <c r="K4" s="76" t="s">
        <v>153</v>
      </c>
      <c r="L4" s="110" t="s">
        <v>156</v>
      </c>
      <c r="M4" s="74" t="s">
        <v>154</v>
      </c>
      <c r="N4" s="74" t="s">
        <v>166</v>
      </c>
      <c r="O4" s="171"/>
      <c r="P4" s="168"/>
      <c r="Q4" s="173"/>
      <c r="R4" s="167"/>
    </row>
    <row r="5" spans="1:20" s="56" customFormat="1" ht="25.5" customHeight="1">
      <c r="A5" s="61"/>
      <c r="B5" s="88"/>
      <c r="C5" s="89"/>
      <c r="D5" s="62" t="s">
        <v>5</v>
      </c>
      <c r="E5" s="53">
        <f>E16+E18+E20+E17+E19</f>
        <v>1697952.833333333</v>
      </c>
      <c r="F5" s="53">
        <f>F16+F18+F20+F17+F19</f>
        <v>22907468.7</v>
      </c>
      <c r="G5" s="53">
        <f>G16+G18+G20+G17+G19</f>
        <v>3852347.3000000003</v>
      </c>
      <c r="H5" s="53">
        <f>H16+H18+H20+H17+H19</f>
        <v>1100687.9</v>
      </c>
      <c r="I5" s="53">
        <f>I16+I18+I20+I17+I19</f>
        <v>2855715.7499999995</v>
      </c>
      <c r="J5" s="53">
        <f>J16+J18+J20+J17+J19</f>
        <v>120505.50999999995</v>
      </c>
      <c r="K5" s="54">
        <f aca="true" t="shared" si="0" ref="K5:K36">I5-E5</f>
        <v>1157762.9166666665</v>
      </c>
      <c r="L5" s="54">
        <f>I5-G5</f>
        <v>-996631.5500000007</v>
      </c>
      <c r="M5" s="54">
        <f>I5-F5</f>
        <v>-20051752.95</v>
      </c>
      <c r="N5" s="54">
        <f>J5-H5</f>
        <v>-980182.3899999999</v>
      </c>
      <c r="O5" s="63">
        <f aca="true" t="shared" si="1" ref="O5:O36">_xlfn.IFERROR(I5/E5,"")</f>
        <v>1.681858114040663</v>
      </c>
      <c r="P5" s="63">
        <f>_xlfn.IFERROR(J5/H5,"")</f>
        <v>0.10948199757624297</v>
      </c>
      <c r="Q5" s="63">
        <f>_xlfn.IFERROR(I5/G5,"")</f>
        <v>0.7412923933415867</v>
      </c>
      <c r="R5" s="63">
        <f>_xlfn.IFERROR(I5/F5,"")</f>
        <v>0.12466308641076522</v>
      </c>
      <c r="S5" s="14"/>
      <c r="T5" s="64"/>
    </row>
    <row r="6" spans="1:19" ht="18" customHeight="1">
      <c r="A6" s="193" t="s">
        <v>10</v>
      </c>
      <c r="B6" s="57" t="s">
        <v>11</v>
      </c>
      <c r="C6" s="22" t="s">
        <v>12</v>
      </c>
      <c r="D6" s="90" t="s">
        <v>13</v>
      </c>
      <c r="E6" s="42">
        <v>1265644.2199999997</v>
      </c>
      <c r="F6" s="42">
        <v>17657445.4</v>
      </c>
      <c r="G6" s="131">
        <f>2711983.9+127329.1</f>
        <v>2839313</v>
      </c>
      <c r="H6" s="130">
        <f>784721.4+127329.1</f>
        <v>912050.5</v>
      </c>
      <c r="I6" s="42">
        <v>2092414.97</v>
      </c>
      <c r="J6" s="42">
        <v>67761.26999999999</v>
      </c>
      <c r="K6" s="42">
        <f t="shared" si="0"/>
        <v>826770.7500000002</v>
      </c>
      <c r="L6" s="42">
        <f aca="true" t="shared" si="2" ref="L6:L69">I6-G6</f>
        <v>-746898.03</v>
      </c>
      <c r="M6" s="42">
        <f aca="true" t="shared" si="3" ref="M6:M36">I6-F6</f>
        <v>-15565030.429999998</v>
      </c>
      <c r="N6" s="42">
        <f aca="true" t="shared" si="4" ref="N6:N36">J6-H6</f>
        <v>-844289.23</v>
      </c>
      <c r="O6" s="43">
        <f t="shared" si="1"/>
        <v>1.6532410427315825</v>
      </c>
      <c r="P6" s="43">
        <f aca="true" t="shared" si="5" ref="P6:P36">_xlfn.IFERROR(J6/H6,"")</f>
        <v>0.0742955242061706</v>
      </c>
      <c r="Q6" s="43">
        <f aca="true" t="shared" si="6" ref="Q6:Q69">_xlfn.IFERROR(I6/G6,"")</f>
        <v>0.7369441023233437</v>
      </c>
      <c r="R6" s="43">
        <f aca="true" t="shared" si="7" ref="R6:R44">_xlfn.IFERROR(I6/F6,"")</f>
        <v>0.11850043551600052</v>
      </c>
      <c r="S6" s="15"/>
    </row>
    <row r="7" spans="1:19" ht="18" customHeight="1">
      <c r="A7" s="153"/>
      <c r="B7" s="57" t="s">
        <v>6</v>
      </c>
      <c r="C7" s="22" t="s">
        <v>7</v>
      </c>
      <c r="D7" s="91" t="s">
        <v>8</v>
      </c>
      <c r="E7" s="42">
        <v>12725.33</v>
      </c>
      <c r="F7" s="44">
        <v>79229.2</v>
      </c>
      <c r="G7" s="113">
        <v>19255.699999999997</v>
      </c>
      <c r="H7" s="44">
        <v>10127.3</v>
      </c>
      <c r="I7" s="42">
        <v>13395.92</v>
      </c>
      <c r="J7" s="42">
        <v>0.20000000000000284</v>
      </c>
      <c r="K7" s="44">
        <f t="shared" si="0"/>
        <v>670.5900000000001</v>
      </c>
      <c r="L7" s="44">
        <f t="shared" si="2"/>
        <v>-5859.779999999997</v>
      </c>
      <c r="M7" s="44">
        <f t="shared" si="3"/>
        <v>-65833.28</v>
      </c>
      <c r="N7" s="44">
        <f t="shared" si="4"/>
        <v>-10127.099999999999</v>
      </c>
      <c r="O7" s="43">
        <f t="shared" si="1"/>
        <v>1.0526972581457612</v>
      </c>
      <c r="P7" s="43">
        <f t="shared" si="5"/>
        <v>1.9748600317952746E-05</v>
      </c>
      <c r="Q7" s="43">
        <f t="shared" si="6"/>
        <v>0.6956859527308797</v>
      </c>
      <c r="R7" s="43">
        <f t="shared" si="7"/>
        <v>0.16907806717725285</v>
      </c>
      <c r="S7" s="15"/>
    </row>
    <row r="8" spans="1:19" ht="18" customHeight="1">
      <c r="A8" s="153"/>
      <c r="B8" s="57" t="s">
        <v>11</v>
      </c>
      <c r="C8" s="23" t="s">
        <v>95</v>
      </c>
      <c r="D8" s="129" t="s">
        <v>94</v>
      </c>
      <c r="E8" s="130">
        <f>13214.56/12*10</f>
        <v>11012.133333333333</v>
      </c>
      <c r="F8" s="41">
        <v>957429</v>
      </c>
      <c r="G8" s="112">
        <v>170697.6</v>
      </c>
      <c r="H8" s="41">
        <v>137368.1</v>
      </c>
      <c r="I8" s="42">
        <v>17288.53</v>
      </c>
      <c r="J8" s="42">
        <v>3989.8400000000006</v>
      </c>
      <c r="K8" s="42">
        <f t="shared" si="0"/>
        <v>6276.396666666666</v>
      </c>
      <c r="L8" s="42">
        <f t="shared" si="2"/>
        <v>-153409.07</v>
      </c>
      <c r="M8" s="42">
        <f t="shared" si="3"/>
        <v>-940140.47</v>
      </c>
      <c r="N8" s="42">
        <f t="shared" si="4"/>
        <v>-133378.26</v>
      </c>
      <c r="O8" s="43">
        <f t="shared" si="1"/>
        <v>1.5699528398978095</v>
      </c>
      <c r="P8" s="43">
        <f t="shared" si="5"/>
        <v>0.02904488014320647</v>
      </c>
      <c r="Q8" s="43">
        <f t="shared" si="6"/>
        <v>0.1012816231745496</v>
      </c>
      <c r="R8" s="43">
        <f t="shared" si="7"/>
        <v>0.01805724497586766</v>
      </c>
      <c r="S8" s="15"/>
    </row>
    <row r="9" spans="1:19" ht="18" customHeight="1">
      <c r="A9" s="153"/>
      <c r="B9" s="57" t="s">
        <v>11</v>
      </c>
      <c r="C9" s="22" t="s">
        <v>14</v>
      </c>
      <c r="D9" s="90" t="s">
        <v>15</v>
      </c>
      <c r="E9" s="42">
        <v>-3738.5600000000004</v>
      </c>
      <c r="F9" s="42">
        <v>0</v>
      </c>
      <c r="G9" s="112"/>
      <c r="H9" s="42"/>
      <c r="I9" s="42">
        <v>197.29</v>
      </c>
      <c r="J9" s="42">
        <v>51.31</v>
      </c>
      <c r="K9" s="42">
        <f t="shared" si="0"/>
        <v>3935.8500000000004</v>
      </c>
      <c r="L9" s="42">
        <f t="shared" si="2"/>
        <v>197.29</v>
      </c>
      <c r="M9" s="42">
        <f t="shared" si="3"/>
        <v>197.29</v>
      </c>
      <c r="N9" s="42">
        <f t="shared" si="4"/>
        <v>51.31</v>
      </c>
      <c r="O9" s="43">
        <f t="shared" si="1"/>
        <v>-0.05277165539673028</v>
      </c>
      <c r="P9" s="43">
        <f t="shared" si="5"/>
      </c>
      <c r="Q9" s="43">
        <f t="shared" si="6"/>
      </c>
      <c r="R9" s="43">
        <f t="shared" si="7"/>
      </c>
      <c r="S9" s="15"/>
    </row>
    <row r="10" spans="1:19" ht="18" customHeight="1">
      <c r="A10" s="153"/>
      <c r="B10" s="57" t="s">
        <v>11</v>
      </c>
      <c r="C10" s="22" t="s">
        <v>16</v>
      </c>
      <c r="D10" s="90" t="s">
        <v>17</v>
      </c>
      <c r="E10" s="42">
        <v>30.55</v>
      </c>
      <c r="F10" s="42">
        <v>792.3</v>
      </c>
      <c r="G10" s="112">
        <v>310</v>
      </c>
      <c r="H10" s="42">
        <v>300</v>
      </c>
      <c r="I10" s="42">
        <v>52.91</v>
      </c>
      <c r="J10" s="42">
        <v>11.05</v>
      </c>
      <c r="K10" s="42">
        <f t="shared" si="0"/>
        <v>22.359999999999996</v>
      </c>
      <c r="L10" s="42">
        <f t="shared" si="2"/>
        <v>-257.09000000000003</v>
      </c>
      <c r="M10" s="42">
        <f t="shared" si="3"/>
        <v>-739.39</v>
      </c>
      <c r="N10" s="42">
        <f t="shared" si="4"/>
        <v>-288.95</v>
      </c>
      <c r="O10" s="43">
        <f t="shared" si="1"/>
        <v>1.7319148936170212</v>
      </c>
      <c r="P10" s="43">
        <f t="shared" si="5"/>
        <v>0.036833333333333336</v>
      </c>
      <c r="Q10" s="43">
        <f t="shared" si="6"/>
        <v>0.1706774193548387</v>
      </c>
      <c r="R10" s="43">
        <f t="shared" si="7"/>
        <v>0.0667802600025243</v>
      </c>
      <c r="S10" s="15"/>
    </row>
    <row r="11" spans="1:19" ht="18" customHeight="1">
      <c r="A11" s="153"/>
      <c r="B11" s="57" t="s">
        <v>11</v>
      </c>
      <c r="C11" s="22" t="s">
        <v>18</v>
      </c>
      <c r="D11" s="90" t="s">
        <v>97</v>
      </c>
      <c r="E11" s="42">
        <v>-40541.23</v>
      </c>
      <c r="F11" s="42">
        <v>354934.4</v>
      </c>
      <c r="G11" s="112">
        <v>191059.3</v>
      </c>
      <c r="H11" s="42">
        <v>2000</v>
      </c>
      <c r="I11" s="42">
        <v>164543.25999999998</v>
      </c>
      <c r="J11" s="42">
        <v>999.93</v>
      </c>
      <c r="K11" s="42">
        <f t="shared" si="0"/>
        <v>205084.49</v>
      </c>
      <c r="L11" s="42">
        <f t="shared" si="2"/>
        <v>-26516.040000000008</v>
      </c>
      <c r="M11" s="42">
        <f t="shared" si="3"/>
        <v>-190391.14000000004</v>
      </c>
      <c r="N11" s="42">
        <f t="shared" si="4"/>
        <v>-1000.07</v>
      </c>
      <c r="O11" s="43">
        <f t="shared" si="1"/>
        <v>-4.058664722308622</v>
      </c>
      <c r="P11" s="43">
        <f t="shared" si="5"/>
        <v>0.499965</v>
      </c>
      <c r="Q11" s="43">
        <f t="shared" si="6"/>
        <v>0.861215653988055</v>
      </c>
      <c r="R11" s="43">
        <f t="shared" si="7"/>
        <v>0.46358780664821436</v>
      </c>
      <c r="S11" s="15"/>
    </row>
    <row r="12" spans="1:19" ht="18" customHeight="1">
      <c r="A12" s="153"/>
      <c r="B12" s="57" t="s">
        <v>19</v>
      </c>
      <c r="C12" s="22" t="s">
        <v>20</v>
      </c>
      <c r="D12" s="90" t="s">
        <v>21</v>
      </c>
      <c r="E12" s="42">
        <v>14220.789999999999</v>
      </c>
      <c r="F12" s="42">
        <v>1250550.2</v>
      </c>
      <c r="G12" s="112">
        <v>51000</v>
      </c>
      <c r="H12" s="42">
        <v>11000</v>
      </c>
      <c r="I12" s="42">
        <v>49124.93</v>
      </c>
      <c r="J12" s="42">
        <v>7295.15</v>
      </c>
      <c r="K12" s="42">
        <f t="shared" si="0"/>
        <v>34904.14</v>
      </c>
      <c r="L12" s="42">
        <f t="shared" si="2"/>
        <v>-1875.0699999999997</v>
      </c>
      <c r="M12" s="42">
        <f t="shared" si="3"/>
        <v>-1201425.27</v>
      </c>
      <c r="N12" s="42">
        <f t="shared" si="4"/>
        <v>-3704.8500000000004</v>
      </c>
      <c r="O12" s="43">
        <f t="shared" si="1"/>
        <v>3.4544445139826974</v>
      </c>
      <c r="P12" s="43">
        <f t="shared" si="5"/>
        <v>0.6631954545454545</v>
      </c>
      <c r="Q12" s="43">
        <f t="shared" si="6"/>
        <v>0.9632339215686274</v>
      </c>
      <c r="R12" s="43">
        <f t="shared" si="7"/>
        <v>0.03928265334730265</v>
      </c>
      <c r="S12" s="15"/>
    </row>
    <row r="13" spans="1:19" ht="18" customHeight="1">
      <c r="A13" s="153"/>
      <c r="B13" s="57" t="s">
        <v>19</v>
      </c>
      <c r="C13" s="22" t="s">
        <v>22</v>
      </c>
      <c r="D13" s="90" t="s">
        <v>23</v>
      </c>
      <c r="E13" s="42">
        <v>402614.74</v>
      </c>
      <c r="F13" s="42">
        <v>2382735.3000000003</v>
      </c>
      <c r="G13" s="112">
        <v>528327</v>
      </c>
      <c r="H13" s="42">
        <v>5602</v>
      </c>
      <c r="I13" s="42">
        <v>472417.73</v>
      </c>
      <c r="J13" s="42">
        <v>27409.069999999996</v>
      </c>
      <c r="K13" s="42">
        <f t="shared" si="0"/>
        <v>69802.98999999999</v>
      </c>
      <c r="L13" s="42">
        <f t="shared" si="2"/>
        <v>-55909.27000000002</v>
      </c>
      <c r="M13" s="42">
        <f t="shared" si="3"/>
        <v>-1910317.5700000003</v>
      </c>
      <c r="N13" s="42">
        <f t="shared" si="4"/>
        <v>21807.069999999996</v>
      </c>
      <c r="O13" s="43">
        <f t="shared" si="1"/>
        <v>1.1733741541603768</v>
      </c>
      <c r="P13" s="43">
        <f t="shared" si="5"/>
        <v>4.892729382363441</v>
      </c>
      <c r="Q13" s="43">
        <f t="shared" si="6"/>
        <v>0.8941767693114302</v>
      </c>
      <c r="R13" s="43">
        <f t="shared" si="7"/>
        <v>0.19826697913108515</v>
      </c>
      <c r="S13" s="15"/>
    </row>
    <row r="14" spans="1:19" ht="18" customHeight="1">
      <c r="A14" s="153"/>
      <c r="B14" s="57" t="s">
        <v>24</v>
      </c>
      <c r="C14" s="22" t="s">
        <v>25</v>
      </c>
      <c r="D14" s="90" t="s">
        <v>26</v>
      </c>
      <c r="E14" s="42">
        <v>35896.56</v>
      </c>
      <c r="F14" s="42">
        <v>223881.6</v>
      </c>
      <c r="G14" s="112">
        <v>52275.600000000006</v>
      </c>
      <c r="H14" s="42">
        <v>22205.2</v>
      </c>
      <c r="I14" s="42">
        <v>46244.61</v>
      </c>
      <c r="J14" s="42">
        <v>12977.29</v>
      </c>
      <c r="K14" s="42">
        <f t="shared" si="0"/>
        <v>10348.050000000003</v>
      </c>
      <c r="L14" s="42">
        <f t="shared" si="2"/>
        <v>-6030.990000000005</v>
      </c>
      <c r="M14" s="42">
        <f t="shared" si="3"/>
        <v>-177636.99</v>
      </c>
      <c r="N14" s="42">
        <f t="shared" si="4"/>
        <v>-9227.91</v>
      </c>
      <c r="O14" s="43">
        <f t="shared" si="1"/>
        <v>1.2882741410318985</v>
      </c>
      <c r="P14" s="43">
        <f t="shared" si="5"/>
        <v>0.5844257201015979</v>
      </c>
      <c r="Q14" s="43">
        <f t="shared" si="6"/>
        <v>0.8846308794160181</v>
      </c>
      <c r="R14" s="43">
        <f t="shared" si="7"/>
        <v>0.20655833261866988</v>
      </c>
      <c r="S14" s="15"/>
    </row>
    <row r="15" spans="1:19" ht="18" customHeight="1">
      <c r="A15" s="153"/>
      <c r="B15" s="57" t="s">
        <v>19</v>
      </c>
      <c r="C15" s="22" t="s">
        <v>27</v>
      </c>
      <c r="D15" s="90" t="s">
        <v>28</v>
      </c>
      <c r="E15" s="42">
        <v>-0.1</v>
      </c>
      <c r="F15" s="42">
        <v>0</v>
      </c>
      <c r="G15" s="112"/>
      <c r="H15" s="42">
        <v>0</v>
      </c>
      <c r="I15" s="42">
        <v>0</v>
      </c>
      <c r="J15" s="42">
        <v>0</v>
      </c>
      <c r="K15" s="42">
        <f t="shared" si="0"/>
        <v>0.1</v>
      </c>
      <c r="L15" s="42">
        <f t="shared" si="2"/>
        <v>0</v>
      </c>
      <c r="M15" s="42">
        <f t="shared" si="3"/>
        <v>0</v>
      </c>
      <c r="N15" s="42">
        <f t="shared" si="4"/>
        <v>0</v>
      </c>
      <c r="O15" s="43">
        <f t="shared" si="1"/>
        <v>0</v>
      </c>
      <c r="P15" s="43">
        <f t="shared" si="5"/>
      </c>
      <c r="Q15" s="43">
        <f t="shared" si="6"/>
      </c>
      <c r="R15" s="43">
        <f t="shared" si="7"/>
      </c>
      <c r="S15" s="15"/>
    </row>
    <row r="16" spans="1:19" ht="18" customHeight="1">
      <c r="A16" s="190"/>
      <c r="B16" s="77"/>
      <c r="C16" s="78"/>
      <c r="D16" s="92" t="s">
        <v>9</v>
      </c>
      <c r="E16" s="79">
        <f>SUM(E6:E15)</f>
        <v>1697864.433333333</v>
      </c>
      <c r="F16" s="79">
        <f>SUM(F6:F15)</f>
        <v>22906997.4</v>
      </c>
      <c r="G16" s="79">
        <f>SUM(G6:G15)</f>
        <v>3852238.2</v>
      </c>
      <c r="H16" s="79">
        <f>SUM(H6:H15)</f>
        <v>1100653.1</v>
      </c>
      <c r="I16" s="79">
        <f>SUM(I6:I15)</f>
        <v>2855680.15</v>
      </c>
      <c r="J16" s="79">
        <f>SUM(J6:J15)</f>
        <v>120495.10999999996</v>
      </c>
      <c r="K16" s="79">
        <f>SUM(K6:K15)</f>
        <v>1157815.7166666668</v>
      </c>
      <c r="L16" s="79">
        <f t="shared" si="2"/>
        <v>-996558.0500000003</v>
      </c>
      <c r="M16" s="79">
        <f t="shared" si="3"/>
        <v>-20051317.25</v>
      </c>
      <c r="N16" s="79">
        <f t="shared" si="4"/>
        <v>-980157.9900000001</v>
      </c>
      <c r="O16" s="80">
        <f t="shared" si="1"/>
        <v>1.6819247131489672</v>
      </c>
      <c r="P16" s="80">
        <f t="shared" si="5"/>
        <v>0.10947601019794516</v>
      </c>
      <c r="Q16" s="80">
        <f t="shared" si="6"/>
        <v>0.7413041462493155</v>
      </c>
      <c r="R16" s="80">
        <f t="shared" si="7"/>
        <v>0.12466409718106486</v>
      </c>
      <c r="S16" s="15"/>
    </row>
    <row r="17" spans="1:19" ht="18" customHeight="1">
      <c r="A17" s="58" t="s">
        <v>81</v>
      </c>
      <c r="B17" s="57" t="s">
        <v>30</v>
      </c>
      <c r="C17" s="22" t="s">
        <v>120</v>
      </c>
      <c r="D17" s="90" t="s">
        <v>31</v>
      </c>
      <c r="E17" s="42">
        <v>24</v>
      </c>
      <c r="F17" s="42">
        <v>88</v>
      </c>
      <c r="G17" s="112">
        <v>22</v>
      </c>
      <c r="H17" s="42">
        <v>7.4</v>
      </c>
      <c r="I17" s="42">
        <v>4.8</v>
      </c>
      <c r="J17" s="42">
        <v>0</v>
      </c>
      <c r="K17" s="42">
        <f t="shared" si="0"/>
        <v>-19.2</v>
      </c>
      <c r="L17" s="42">
        <f t="shared" si="2"/>
        <v>-17.2</v>
      </c>
      <c r="M17" s="42">
        <f t="shared" si="3"/>
        <v>-83.2</v>
      </c>
      <c r="N17" s="42">
        <f t="shared" si="4"/>
        <v>-7.4</v>
      </c>
      <c r="O17" s="43">
        <f t="shared" si="1"/>
        <v>0.19999999999999998</v>
      </c>
      <c r="P17" s="43">
        <f t="shared" si="5"/>
        <v>0</v>
      </c>
      <c r="Q17" s="43">
        <f t="shared" si="6"/>
        <v>0.21818181818181817</v>
      </c>
      <c r="R17" s="43">
        <f t="shared" si="7"/>
        <v>0.05454545454545454</v>
      </c>
      <c r="S17" s="15"/>
    </row>
    <row r="18" spans="1:19" ht="18.75" customHeight="1">
      <c r="A18" s="106" t="s">
        <v>29</v>
      </c>
      <c r="B18" s="107" t="s">
        <v>30</v>
      </c>
      <c r="C18" s="22" t="s">
        <v>109</v>
      </c>
      <c r="D18" s="105" t="s">
        <v>96</v>
      </c>
      <c r="E18" s="42">
        <v>27.2</v>
      </c>
      <c r="F18" s="42">
        <v>328.3</v>
      </c>
      <c r="G18" s="112">
        <v>82.1</v>
      </c>
      <c r="H18" s="42">
        <v>27.4</v>
      </c>
      <c r="I18" s="42">
        <v>20.8</v>
      </c>
      <c r="J18" s="42">
        <v>10.4</v>
      </c>
      <c r="K18" s="42">
        <f t="shared" si="0"/>
        <v>-6.399999999999999</v>
      </c>
      <c r="L18" s="42">
        <f t="shared" si="2"/>
        <v>-61.3</v>
      </c>
      <c r="M18" s="42">
        <f t="shared" si="3"/>
        <v>-307.5</v>
      </c>
      <c r="N18" s="42">
        <f t="shared" si="4"/>
        <v>-17</v>
      </c>
      <c r="O18" s="43">
        <f t="shared" si="1"/>
        <v>0.7647058823529412</v>
      </c>
      <c r="P18" s="43">
        <f t="shared" si="5"/>
        <v>0.3795620437956205</v>
      </c>
      <c r="Q18" s="43">
        <f t="shared" si="6"/>
        <v>0.2533495736906212</v>
      </c>
      <c r="R18" s="43">
        <f t="shared" si="7"/>
        <v>0.06335668595796527</v>
      </c>
      <c r="S18" s="15"/>
    </row>
    <row r="19" spans="1:19" ht="35.25" customHeight="1">
      <c r="A19" s="59" t="s">
        <v>33</v>
      </c>
      <c r="B19" s="60" t="s">
        <v>83</v>
      </c>
      <c r="C19" s="22" t="s">
        <v>121</v>
      </c>
      <c r="D19" s="90" t="s">
        <v>34</v>
      </c>
      <c r="E19" s="42">
        <v>27.2</v>
      </c>
      <c r="F19" s="42">
        <v>0</v>
      </c>
      <c r="G19" s="112">
        <v>0</v>
      </c>
      <c r="H19" s="42">
        <v>0</v>
      </c>
      <c r="I19" s="42">
        <v>0</v>
      </c>
      <c r="J19" s="42">
        <v>0</v>
      </c>
      <c r="K19" s="42">
        <f t="shared" si="0"/>
        <v>-27.2</v>
      </c>
      <c r="L19" s="42">
        <f t="shared" si="2"/>
        <v>0</v>
      </c>
      <c r="M19" s="42">
        <f t="shared" si="3"/>
        <v>0</v>
      </c>
      <c r="N19" s="42">
        <f t="shared" si="4"/>
        <v>0</v>
      </c>
      <c r="O19" s="43">
        <f t="shared" si="1"/>
        <v>0</v>
      </c>
      <c r="P19" s="43">
        <f t="shared" si="5"/>
      </c>
      <c r="Q19" s="43">
        <f t="shared" si="6"/>
      </c>
      <c r="R19" s="43">
        <f t="shared" si="7"/>
      </c>
      <c r="S19" s="15"/>
    </row>
    <row r="20" spans="1:19" ht="18" customHeight="1">
      <c r="A20" s="58" t="s">
        <v>32</v>
      </c>
      <c r="B20" s="57" t="s">
        <v>11</v>
      </c>
      <c r="C20" s="22" t="s">
        <v>122</v>
      </c>
      <c r="D20" s="90" t="s">
        <v>85</v>
      </c>
      <c r="E20" s="42">
        <v>10</v>
      </c>
      <c r="F20" s="42">
        <v>55</v>
      </c>
      <c r="G20" s="112">
        <v>5</v>
      </c>
      <c r="H20" s="42">
        <v>0</v>
      </c>
      <c r="I20" s="42">
        <v>10</v>
      </c>
      <c r="J20" s="42">
        <v>0</v>
      </c>
      <c r="K20" s="42">
        <f t="shared" si="0"/>
        <v>0</v>
      </c>
      <c r="L20" s="42">
        <f t="shared" si="2"/>
        <v>5</v>
      </c>
      <c r="M20" s="42">
        <f t="shared" si="3"/>
        <v>-45</v>
      </c>
      <c r="N20" s="42">
        <f t="shared" si="4"/>
        <v>0</v>
      </c>
      <c r="O20" s="43">
        <f t="shared" si="1"/>
        <v>1</v>
      </c>
      <c r="P20" s="43">
        <f t="shared" si="5"/>
      </c>
      <c r="Q20" s="43">
        <f t="shared" si="6"/>
        <v>2</v>
      </c>
      <c r="R20" s="43">
        <f t="shared" si="7"/>
        <v>0.18181818181818182</v>
      </c>
      <c r="S20" s="15"/>
    </row>
    <row r="21" spans="1:19" s="56" customFormat="1" ht="28.5" customHeight="1">
      <c r="A21" s="194"/>
      <c r="B21" s="194"/>
      <c r="C21" s="195"/>
      <c r="D21" s="55" t="s">
        <v>35</v>
      </c>
      <c r="E21" s="54">
        <f>E25+E28+E36+E48+E50+E55+E58+E61+E70</f>
        <v>1483385.73</v>
      </c>
      <c r="F21" s="54">
        <f>F25+F28+F36+F48+F50+F55+F58+F61+F70</f>
        <v>7267443.6</v>
      </c>
      <c r="G21" s="54">
        <f>G25+G28+G36+G48+G50+G55+G58+G61+G70</f>
        <v>1820595.7</v>
      </c>
      <c r="H21" s="54">
        <f>H25+H28+H36+H48+H50+H55+H58+H61+H70</f>
        <v>857294.2999999999</v>
      </c>
      <c r="I21" s="54">
        <f>I25+I28+I36+I48+I50+I55+I58+I61+I70</f>
        <v>1738185.0799999998</v>
      </c>
      <c r="J21" s="54">
        <f>J25+J28+J36+J48+J50+J55+J58+J61+J70</f>
        <v>469668.4599999999</v>
      </c>
      <c r="K21" s="54">
        <f>K25+K28+K36+K48+K50+K55+K58+K61+K70</f>
        <v>254799.35000000012</v>
      </c>
      <c r="L21" s="54">
        <f t="shared" si="2"/>
        <v>-82410.62000000011</v>
      </c>
      <c r="M21" s="54">
        <f t="shared" si="3"/>
        <v>-5529258.52</v>
      </c>
      <c r="N21" s="54">
        <f t="shared" si="4"/>
        <v>-387625.84</v>
      </c>
      <c r="O21" s="63">
        <f t="shared" si="1"/>
        <v>1.1717687752058932</v>
      </c>
      <c r="P21" s="63">
        <f t="shared" si="5"/>
        <v>0.5478497407483054</v>
      </c>
      <c r="Q21" s="63">
        <f t="shared" si="6"/>
        <v>0.9547342553868494</v>
      </c>
      <c r="R21" s="63">
        <f t="shared" si="7"/>
        <v>0.23917420975926115</v>
      </c>
      <c r="S21" s="64"/>
    </row>
    <row r="22" spans="1:18" ht="18" customHeight="1">
      <c r="A22" s="189" t="s">
        <v>33</v>
      </c>
      <c r="B22" s="191" t="s">
        <v>83</v>
      </c>
      <c r="C22" s="24" t="s">
        <v>123</v>
      </c>
      <c r="D22" s="18" t="s">
        <v>98</v>
      </c>
      <c r="E22" s="19">
        <v>32630.33</v>
      </c>
      <c r="F22" s="1">
        <v>209447.5</v>
      </c>
      <c r="G22" s="114">
        <v>48697.600000000006</v>
      </c>
      <c r="H22" s="1">
        <v>16899.2</v>
      </c>
      <c r="I22" s="39">
        <v>45996.130000000005</v>
      </c>
      <c r="J22" s="39">
        <v>13563.76</v>
      </c>
      <c r="K22" s="2">
        <f t="shared" si="0"/>
        <v>13365.800000000003</v>
      </c>
      <c r="L22" s="2">
        <f t="shared" si="2"/>
        <v>-2701.470000000001</v>
      </c>
      <c r="M22" s="2">
        <f t="shared" si="3"/>
        <v>-163451.37</v>
      </c>
      <c r="N22" s="2">
        <f t="shared" si="4"/>
        <v>-3335.4400000000005</v>
      </c>
      <c r="O22" s="13">
        <f t="shared" si="1"/>
        <v>1.4096127743727997</v>
      </c>
      <c r="P22" s="13">
        <f t="shared" si="5"/>
        <v>0.802627343306192</v>
      </c>
      <c r="Q22" s="13">
        <f t="shared" si="6"/>
        <v>0.9445256029044552</v>
      </c>
      <c r="R22" s="13">
        <f t="shared" si="7"/>
        <v>0.21960696594612017</v>
      </c>
    </row>
    <row r="23" spans="1:18" ht="18" customHeight="1">
      <c r="A23" s="153"/>
      <c r="B23" s="149"/>
      <c r="C23" s="22" t="s">
        <v>117</v>
      </c>
      <c r="D23" s="18" t="s">
        <v>36</v>
      </c>
      <c r="E23" s="19"/>
      <c r="F23" s="1">
        <v>4501.5</v>
      </c>
      <c r="G23" s="114">
        <v>0</v>
      </c>
      <c r="H23" s="1">
        <v>0</v>
      </c>
      <c r="I23" s="39">
        <v>1715</v>
      </c>
      <c r="J23" s="39">
        <v>0</v>
      </c>
      <c r="K23" s="2">
        <f t="shared" si="0"/>
        <v>1715</v>
      </c>
      <c r="L23" s="2">
        <f t="shared" si="2"/>
        <v>1715</v>
      </c>
      <c r="M23" s="2">
        <f t="shared" si="3"/>
        <v>-2786.5</v>
      </c>
      <c r="N23" s="2">
        <f t="shared" si="4"/>
        <v>0</v>
      </c>
      <c r="O23" s="13">
        <f t="shared" si="1"/>
      </c>
      <c r="P23" s="13">
        <f t="shared" si="5"/>
      </c>
      <c r="Q23" s="13">
        <f t="shared" si="6"/>
      </c>
      <c r="R23" s="13">
        <f t="shared" si="7"/>
        <v>0.38098411640564256</v>
      </c>
    </row>
    <row r="24" spans="1:18" ht="18" customHeight="1">
      <c r="A24" s="153"/>
      <c r="B24" s="149"/>
      <c r="C24" s="22" t="s">
        <v>124</v>
      </c>
      <c r="D24" s="18" t="s">
        <v>58</v>
      </c>
      <c r="E24" s="19">
        <v>21210.000000000004</v>
      </c>
      <c r="F24" s="1">
        <v>126183.1</v>
      </c>
      <c r="G24" s="114">
        <v>30984.6</v>
      </c>
      <c r="H24" s="1">
        <v>10520</v>
      </c>
      <c r="I24" s="39">
        <v>31677.130000000005</v>
      </c>
      <c r="J24" s="39">
        <v>9564.980000000001</v>
      </c>
      <c r="K24" s="2">
        <f t="shared" si="0"/>
        <v>10467.130000000001</v>
      </c>
      <c r="L24" s="2">
        <f t="shared" si="2"/>
        <v>692.5300000000061</v>
      </c>
      <c r="M24" s="2">
        <f t="shared" si="3"/>
        <v>-94505.97</v>
      </c>
      <c r="N24" s="2">
        <f t="shared" si="4"/>
        <v>-955.0199999999986</v>
      </c>
      <c r="O24" s="13">
        <f t="shared" si="1"/>
        <v>1.4934997642621404</v>
      </c>
      <c r="P24" s="13">
        <f t="shared" si="5"/>
        <v>0.9092186311787074</v>
      </c>
      <c r="Q24" s="13">
        <f t="shared" si="6"/>
        <v>1.0223507807104177</v>
      </c>
      <c r="R24" s="13">
        <f t="shared" si="7"/>
        <v>0.25104098726374613</v>
      </c>
    </row>
    <row r="25" spans="1:18" ht="18" customHeight="1">
      <c r="A25" s="190"/>
      <c r="B25" s="192"/>
      <c r="C25" s="78"/>
      <c r="D25" s="92" t="s">
        <v>9</v>
      </c>
      <c r="E25" s="81">
        <f>SUM(E22:E24)</f>
        <v>53840.33</v>
      </c>
      <c r="F25" s="81">
        <f>SUM(F22:F24)</f>
        <v>340132.1</v>
      </c>
      <c r="G25" s="81">
        <f>SUM(G22:G24)</f>
        <v>79682.20000000001</v>
      </c>
      <c r="H25" s="81">
        <f>SUM(H22:H24)</f>
        <v>27419.2</v>
      </c>
      <c r="I25" s="81">
        <f>SUM(I22:I24)</f>
        <v>79388.26000000001</v>
      </c>
      <c r="J25" s="81">
        <f>SUM(J22:J24)</f>
        <v>23128.74</v>
      </c>
      <c r="K25" s="81">
        <f t="shared" si="0"/>
        <v>25547.930000000008</v>
      </c>
      <c r="L25" s="81">
        <f t="shared" si="2"/>
        <v>-293.9400000000023</v>
      </c>
      <c r="M25" s="81">
        <f t="shared" si="3"/>
        <v>-260743.83999999997</v>
      </c>
      <c r="N25" s="81">
        <f t="shared" si="4"/>
        <v>-4290.459999999999</v>
      </c>
      <c r="O25" s="30">
        <f t="shared" si="1"/>
        <v>1.4745128791001096</v>
      </c>
      <c r="P25" s="30">
        <f t="shared" si="5"/>
        <v>0.8435235163680924</v>
      </c>
      <c r="Q25" s="30">
        <f t="shared" si="6"/>
        <v>0.9963110958281775</v>
      </c>
      <c r="R25" s="30">
        <f t="shared" si="7"/>
        <v>0.2334041979572055</v>
      </c>
    </row>
    <row r="26" spans="1:18" ht="23.25" customHeight="1">
      <c r="A26" s="142">
        <v>951</v>
      </c>
      <c r="B26" s="142" t="s">
        <v>11</v>
      </c>
      <c r="C26" s="25" t="s">
        <v>125</v>
      </c>
      <c r="D26" s="108" t="s">
        <v>38</v>
      </c>
      <c r="E26" s="19">
        <v>14380.88</v>
      </c>
      <c r="F26" s="1">
        <v>75335.1</v>
      </c>
      <c r="G26" s="114">
        <v>14669</v>
      </c>
      <c r="H26" s="1">
        <v>6278</v>
      </c>
      <c r="I26" s="39">
        <v>48120.03</v>
      </c>
      <c r="J26" s="39">
        <v>32731.03</v>
      </c>
      <c r="K26" s="1">
        <f t="shared" si="0"/>
        <v>33739.15</v>
      </c>
      <c r="L26" s="1">
        <f t="shared" si="2"/>
        <v>33451.03</v>
      </c>
      <c r="M26" s="1">
        <f t="shared" si="3"/>
        <v>-27215.070000000007</v>
      </c>
      <c r="N26" s="1">
        <f t="shared" si="4"/>
        <v>26453.03</v>
      </c>
      <c r="O26" s="13">
        <f t="shared" si="1"/>
        <v>3.3461116426811155</v>
      </c>
      <c r="P26" s="13">
        <f t="shared" si="5"/>
        <v>5.21360783689073</v>
      </c>
      <c r="Q26" s="13">
        <f t="shared" si="6"/>
        <v>3.280389256254687</v>
      </c>
      <c r="R26" s="13">
        <f t="shared" si="7"/>
        <v>0.6387464807241245</v>
      </c>
    </row>
    <row r="27" spans="1:18" ht="22.5" customHeight="1">
      <c r="A27" s="142"/>
      <c r="B27" s="142"/>
      <c r="C27" s="25" t="s">
        <v>126</v>
      </c>
      <c r="D27" s="109" t="s">
        <v>39</v>
      </c>
      <c r="E27" s="19">
        <v>907.95</v>
      </c>
      <c r="F27" s="1">
        <v>13384.8</v>
      </c>
      <c r="G27" s="114">
        <v>1930</v>
      </c>
      <c r="H27" s="1">
        <v>1552.7</v>
      </c>
      <c r="I27" s="39">
        <v>3470.46</v>
      </c>
      <c r="J27" s="39">
        <v>1225.65</v>
      </c>
      <c r="K27" s="1">
        <f t="shared" si="0"/>
        <v>2562.51</v>
      </c>
      <c r="L27" s="1">
        <f t="shared" si="2"/>
        <v>1540.46</v>
      </c>
      <c r="M27" s="1">
        <f t="shared" si="3"/>
        <v>-9914.34</v>
      </c>
      <c r="N27" s="1">
        <f t="shared" si="4"/>
        <v>-327.04999999999995</v>
      </c>
      <c r="O27" s="13">
        <f t="shared" si="1"/>
        <v>3.822302990252767</v>
      </c>
      <c r="P27" s="13">
        <f t="shared" si="5"/>
        <v>0.7893669092548464</v>
      </c>
      <c r="Q27" s="13">
        <f t="shared" si="6"/>
        <v>1.7981658031088084</v>
      </c>
      <c r="R27" s="13">
        <f t="shared" si="7"/>
        <v>0.25928366505289585</v>
      </c>
    </row>
    <row r="28" spans="1:18" ht="15.75">
      <c r="A28" s="142"/>
      <c r="B28" s="142"/>
      <c r="C28" s="78"/>
      <c r="D28" s="94" t="s">
        <v>9</v>
      </c>
      <c r="E28" s="81">
        <f>E26+E27</f>
        <v>15288.83</v>
      </c>
      <c r="F28" s="81">
        <f>F26+F27</f>
        <v>88719.90000000001</v>
      </c>
      <c r="G28" s="81">
        <f>G26+G27</f>
        <v>16599</v>
      </c>
      <c r="H28" s="81">
        <f>H26+H27</f>
        <v>7830.7</v>
      </c>
      <c r="I28" s="81">
        <f>I26+I27</f>
        <v>51590.49</v>
      </c>
      <c r="J28" s="81">
        <f>J26+J27</f>
        <v>33956.68</v>
      </c>
      <c r="K28" s="81">
        <f t="shared" si="0"/>
        <v>36301.659999999996</v>
      </c>
      <c r="L28" s="81">
        <f t="shared" si="2"/>
        <v>34991.49</v>
      </c>
      <c r="M28" s="81">
        <f t="shared" si="3"/>
        <v>-37129.41000000001</v>
      </c>
      <c r="N28" s="81">
        <f t="shared" si="4"/>
        <v>26125.98</v>
      </c>
      <c r="O28" s="30">
        <f t="shared" si="1"/>
        <v>3.3743909769419895</v>
      </c>
      <c r="P28" s="30">
        <f t="shared" si="5"/>
        <v>4.33635307188374</v>
      </c>
      <c r="Q28" s="30">
        <f t="shared" si="6"/>
        <v>3.108048075185252</v>
      </c>
      <c r="R28" s="30">
        <f t="shared" si="7"/>
        <v>0.5814985138621661</v>
      </c>
    </row>
    <row r="29" spans="1:18" ht="18.75" customHeight="1">
      <c r="A29" s="174" t="s">
        <v>40</v>
      </c>
      <c r="B29" s="142" t="s">
        <v>41</v>
      </c>
      <c r="C29" s="22" t="s">
        <v>110</v>
      </c>
      <c r="D29" s="18" t="s">
        <v>42</v>
      </c>
      <c r="E29" s="19"/>
      <c r="F29" s="1">
        <v>2640</v>
      </c>
      <c r="G29" s="114"/>
      <c r="H29" s="1">
        <v>0</v>
      </c>
      <c r="I29" s="39">
        <v>0</v>
      </c>
      <c r="J29" s="39">
        <v>0</v>
      </c>
      <c r="K29" s="1">
        <f t="shared" si="0"/>
        <v>0</v>
      </c>
      <c r="L29" s="1">
        <f t="shared" si="2"/>
        <v>0</v>
      </c>
      <c r="M29" s="1">
        <f t="shared" si="3"/>
        <v>-2640</v>
      </c>
      <c r="N29" s="1">
        <f t="shared" si="4"/>
        <v>0</v>
      </c>
      <c r="O29" s="13">
        <f t="shared" si="1"/>
      </c>
      <c r="P29" s="13">
        <f t="shared" si="5"/>
      </c>
      <c r="Q29" s="13">
        <f t="shared" si="6"/>
      </c>
      <c r="R29" s="13">
        <f t="shared" si="7"/>
        <v>0</v>
      </c>
    </row>
    <row r="30" spans="1:18" ht="17.25" customHeight="1">
      <c r="A30" s="174"/>
      <c r="B30" s="142"/>
      <c r="C30" s="22" t="s">
        <v>111</v>
      </c>
      <c r="D30" s="95" t="s">
        <v>43</v>
      </c>
      <c r="E30" s="19">
        <v>19234.809999999998</v>
      </c>
      <c r="F30" s="1">
        <v>95135.2</v>
      </c>
      <c r="G30" s="114">
        <v>22300</v>
      </c>
      <c r="H30" s="1">
        <v>7800</v>
      </c>
      <c r="I30" s="39">
        <v>15787.679999999998</v>
      </c>
      <c r="J30" s="39">
        <v>2246.9100000000003</v>
      </c>
      <c r="K30" s="1">
        <f t="shared" si="0"/>
        <v>-3447.129999999999</v>
      </c>
      <c r="L30" s="1">
        <f t="shared" si="2"/>
        <v>-6512.3200000000015</v>
      </c>
      <c r="M30" s="1">
        <f t="shared" si="3"/>
        <v>-79347.52</v>
      </c>
      <c r="N30" s="1">
        <f t="shared" si="4"/>
        <v>-5553.09</v>
      </c>
      <c r="O30" s="13">
        <f t="shared" si="1"/>
        <v>0.8207868962573585</v>
      </c>
      <c r="P30" s="13">
        <f t="shared" si="5"/>
        <v>0.28806538461538467</v>
      </c>
      <c r="Q30" s="13">
        <f t="shared" si="6"/>
        <v>0.7079677130044842</v>
      </c>
      <c r="R30" s="13">
        <f t="shared" si="7"/>
        <v>0.16594993230686433</v>
      </c>
    </row>
    <row r="31" spans="1:18" ht="15.75">
      <c r="A31" s="174"/>
      <c r="B31" s="142"/>
      <c r="C31" s="24" t="s">
        <v>112</v>
      </c>
      <c r="D31" s="93" t="s">
        <v>44</v>
      </c>
      <c r="E31" s="19">
        <v>2592.11</v>
      </c>
      <c r="F31" s="1">
        <v>557</v>
      </c>
      <c r="G31" s="114">
        <v>139.2</v>
      </c>
      <c r="H31" s="1">
        <v>46.4</v>
      </c>
      <c r="I31" s="39">
        <v>309.33</v>
      </c>
      <c r="J31" s="39">
        <v>31.34</v>
      </c>
      <c r="K31" s="1">
        <f t="shared" si="0"/>
        <v>-2282.78</v>
      </c>
      <c r="L31" s="1">
        <f t="shared" si="2"/>
        <v>170.13</v>
      </c>
      <c r="M31" s="1">
        <f t="shared" si="3"/>
        <v>-247.67000000000002</v>
      </c>
      <c r="N31" s="1">
        <f t="shared" si="4"/>
        <v>-15.059999999999999</v>
      </c>
      <c r="O31" s="13">
        <f t="shared" si="1"/>
        <v>0.11933521339757956</v>
      </c>
      <c r="P31" s="13">
        <f t="shared" si="5"/>
        <v>0.6754310344827587</v>
      </c>
      <c r="Q31" s="13">
        <f t="shared" si="6"/>
        <v>2.222198275862069</v>
      </c>
      <c r="R31" s="13">
        <f t="shared" si="7"/>
        <v>0.5553500897666068</v>
      </c>
    </row>
    <row r="32" spans="1:18" ht="27" customHeight="1">
      <c r="A32" s="174"/>
      <c r="B32" s="142"/>
      <c r="C32" s="25" t="s">
        <v>158</v>
      </c>
      <c r="D32" s="108" t="s">
        <v>163</v>
      </c>
      <c r="E32" s="1">
        <f>E33+E35+E34</f>
        <v>133293.13</v>
      </c>
      <c r="F32" s="1">
        <f>F33+F35+F34</f>
        <v>289139.9</v>
      </c>
      <c r="G32" s="1">
        <f>G33+G35+G34</f>
        <v>209105.6</v>
      </c>
      <c r="H32" s="1">
        <f>H33+H35+H34</f>
        <v>201627.2</v>
      </c>
      <c r="I32" s="1">
        <f>I33+I35+I34</f>
        <v>214851.51</v>
      </c>
      <c r="J32" s="1">
        <f>J33+J35+J34</f>
        <v>3558.99</v>
      </c>
      <c r="K32" s="2">
        <f t="shared" si="0"/>
        <v>81558.38</v>
      </c>
      <c r="L32" s="2">
        <f t="shared" si="2"/>
        <v>5745.9100000000035</v>
      </c>
      <c r="M32" s="2">
        <f t="shared" si="3"/>
        <v>-74288.39000000001</v>
      </c>
      <c r="N32" s="2">
        <f t="shared" si="4"/>
        <v>-198068.21000000002</v>
      </c>
      <c r="O32" s="13">
        <f t="shared" si="1"/>
        <v>1.6118723448087684</v>
      </c>
      <c r="P32" s="13">
        <f t="shared" si="5"/>
        <v>0.01765133870826952</v>
      </c>
      <c r="Q32" s="13">
        <f t="shared" si="6"/>
        <v>1.0274785084665357</v>
      </c>
      <c r="R32" s="13">
        <f t="shared" si="7"/>
        <v>0.7430711223182964</v>
      </c>
    </row>
    <row r="33" spans="1:18" ht="23.25" customHeight="1">
      <c r="A33" s="174"/>
      <c r="B33" s="142"/>
      <c r="C33" s="25" t="s">
        <v>159</v>
      </c>
      <c r="D33" s="118" t="s">
        <v>45</v>
      </c>
      <c r="E33" s="19">
        <v>122353.01</v>
      </c>
      <c r="F33" s="3">
        <v>251905.2</v>
      </c>
      <c r="G33" s="132">
        <f>6610.4+194078.6</f>
        <v>200689</v>
      </c>
      <c r="H33" s="133">
        <f>3350+194078.6</f>
        <v>197428.6</v>
      </c>
      <c r="I33" s="39">
        <v>207797.48</v>
      </c>
      <c r="J33" s="39">
        <v>123</v>
      </c>
      <c r="K33" s="3">
        <f t="shared" si="0"/>
        <v>85444.47000000002</v>
      </c>
      <c r="L33" s="3">
        <f t="shared" si="2"/>
        <v>7108.4800000000105</v>
      </c>
      <c r="M33" s="3">
        <f t="shared" si="3"/>
        <v>-44107.72</v>
      </c>
      <c r="N33" s="3">
        <f t="shared" si="4"/>
        <v>-197305.6</v>
      </c>
      <c r="O33" s="13">
        <f t="shared" si="1"/>
        <v>1.6983438331431324</v>
      </c>
      <c r="P33" s="13">
        <f t="shared" si="5"/>
        <v>0.0006230100400853776</v>
      </c>
      <c r="Q33" s="13">
        <f t="shared" si="6"/>
        <v>1.0354203768019175</v>
      </c>
      <c r="R33" s="13">
        <f t="shared" si="7"/>
        <v>0.8249034954419361</v>
      </c>
    </row>
    <row r="34" spans="1:18" ht="21" customHeight="1">
      <c r="A34" s="174"/>
      <c r="B34" s="142"/>
      <c r="C34" s="25" t="s">
        <v>160</v>
      </c>
      <c r="D34" s="118" t="s">
        <v>46</v>
      </c>
      <c r="E34" s="19">
        <v>560</v>
      </c>
      <c r="F34" s="3">
        <v>1403.8</v>
      </c>
      <c r="G34" s="115">
        <v>632.1</v>
      </c>
      <c r="H34" s="3">
        <v>0</v>
      </c>
      <c r="I34" s="39">
        <v>0</v>
      </c>
      <c r="J34" s="39">
        <v>0</v>
      </c>
      <c r="K34" s="3">
        <f t="shared" si="0"/>
        <v>-560</v>
      </c>
      <c r="L34" s="3">
        <f t="shared" si="2"/>
        <v>-632.1</v>
      </c>
      <c r="M34" s="3">
        <f t="shared" si="3"/>
        <v>-1403.8</v>
      </c>
      <c r="N34" s="3">
        <f t="shared" si="4"/>
        <v>0</v>
      </c>
      <c r="O34" s="13">
        <f t="shared" si="1"/>
        <v>0</v>
      </c>
      <c r="P34" s="13">
        <f t="shared" si="5"/>
      </c>
      <c r="Q34" s="13">
        <f t="shared" si="6"/>
        <v>0</v>
      </c>
      <c r="R34" s="13">
        <f t="shared" si="7"/>
        <v>0</v>
      </c>
    </row>
    <row r="35" spans="1:18" ht="25.5" customHeight="1">
      <c r="A35" s="174"/>
      <c r="B35" s="142"/>
      <c r="C35" s="25" t="s">
        <v>161</v>
      </c>
      <c r="D35" s="118" t="s">
        <v>47</v>
      </c>
      <c r="E35" s="19">
        <v>10380.12</v>
      </c>
      <c r="F35" s="3">
        <v>35830.9</v>
      </c>
      <c r="G35" s="115">
        <v>7784.5</v>
      </c>
      <c r="H35" s="3">
        <v>4198.6</v>
      </c>
      <c r="I35" s="39">
        <v>7054.030000000001</v>
      </c>
      <c r="J35" s="39">
        <v>3435.99</v>
      </c>
      <c r="K35" s="3">
        <f t="shared" si="0"/>
        <v>-3326.09</v>
      </c>
      <c r="L35" s="3">
        <f t="shared" si="2"/>
        <v>-730.4699999999993</v>
      </c>
      <c r="M35" s="3">
        <f t="shared" si="3"/>
        <v>-28776.870000000003</v>
      </c>
      <c r="N35" s="3">
        <f t="shared" si="4"/>
        <v>-762.6100000000006</v>
      </c>
      <c r="O35" s="13">
        <f t="shared" si="1"/>
        <v>0.6795711417594402</v>
      </c>
      <c r="P35" s="13">
        <f t="shared" si="5"/>
        <v>0.8183656456914208</v>
      </c>
      <c r="Q35" s="13">
        <f t="shared" si="6"/>
        <v>0.9061635300918492</v>
      </c>
      <c r="R35" s="13">
        <f t="shared" si="7"/>
        <v>0.1968700200106612</v>
      </c>
    </row>
    <row r="36" spans="1:18" ht="15.75">
      <c r="A36" s="174"/>
      <c r="B36" s="174"/>
      <c r="C36" s="78"/>
      <c r="D36" s="94" t="s">
        <v>9</v>
      </c>
      <c r="E36" s="81">
        <f>SUM(E29:E32)</f>
        <v>155120.05</v>
      </c>
      <c r="F36" s="81">
        <f>SUM(F29:F32)</f>
        <v>387472.10000000003</v>
      </c>
      <c r="G36" s="81">
        <f>SUM(G29:G32)</f>
        <v>231544.80000000002</v>
      </c>
      <c r="H36" s="81">
        <f>SUM(H29:H32)</f>
        <v>209473.6</v>
      </c>
      <c r="I36" s="81">
        <f>SUM(I29:I32)</f>
        <v>230948.52000000002</v>
      </c>
      <c r="J36" s="81">
        <f>SUM(J29:J32)</f>
        <v>5837.24</v>
      </c>
      <c r="K36" s="81">
        <f t="shared" si="0"/>
        <v>75828.47000000003</v>
      </c>
      <c r="L36" s="81">
        <f t="shared" si="2"/>
        <v>-596.2799999999988</v>
      </c>
      <c r="M36" s="81">
        <f t="shared" si="3"/>
        <v>-156523.58000000002</v>
      </c>
      <c r="N36" s="81">
        <f t="shared" si="4"/>
        <v>-203636.36000000002</v>
      </c>
      <c r="O36" s="30">
        <f t="shared" si="1"/>
        <v>1.488837323092663</v>
      </c>
      <c r="P36" s="30">
        <f t="shared" si="5"/>
        <v>0.027866232308033086</v>
      </c>
      <c r="Q36" s="30">
        <f t="shared" si="6"/>
        <v>0.9974247748167957</v>
      </c>
      <c r="R36" s="30">
        <f t="shared" si="7"/>
        <v>0.5960390954600344</v>
      </c>
    </row>
    <row r="37" spans="1:18" ht="31.5">
      <c r="A37" s="174" t="s">
        <v>82</v>
      </c>
      <c r="B37" s="142" t="s">
        <v>19</v>
      </c>
      <c r="C37" s="24" t="s">
        <v>129</v>
      </c>
      <c r="D37" s="93" t="s">
        <v>49</v>
      </c>
      <c r="E37" s="19">
        <v>89953.5</v>
      </c>
      <c r="F37" s="1">
        <v>280952</v>
      </c>
      <c r="G37" s="114">
        <v>87600</v>
      </c>
      <c r="H37" s="1">
        <v>34600</v>
      </c>
      <c r="I37" s="39">
        <v>94772.64</v>
      </c>
      <c r="J37" s="39">
        <v>21759</v>
      </c>
      <c r="K37" s="2">
        <f aca="true" t="shared" si="8" ref="K37:K82">I37-E37</f>
        <v>4819.139999999999</v>
      </c>
      <c r="L37" s="2">
        <f t="shared" si="2"/>
        <v>7172.639999999999</v>
      </c>
      <c r="M37" s="2">
        <f aca="true" t="shared" si="9" ref="M37:M68">I37-F37</f>
        <v>-186179.36</v>
      </c>
      <c r="N37" s="2">
        <f aca="true" t="shared" si="10" ref="N37:N68">J37-H37</f>
        <v>-12841</v>
      </c>
      <c r="O37" s="13">
        <f aca="true" t="shared" si="11" ref="O37:O68">_xlfn.IFERROR(I37/E37,"")</f>
        <v>1.0535736797345294</v>
      </c>
      <c r="P37" s="13">
        <f aca="true" t="shared" si="12" ref="P37:P68">_xlfn.IFERROR(J37/H37,"")</f>
        <v>0.6288728323699422</v>
      </c>
      <c r="Q37" s="13">
        <f t="shared" si="6"/>
        <v>1.0818794520547945</v>
      </c>
      <c r="R37" s="13">
        <f t="shared" si="7"/>
        <v>0.3373268031549873</v>
      </c>
    </row>
    <row r="38" spans="1:18" ht="18.75" customHeight="1">
      <c r="A38" s="174"/>
      <c r="B38" s="142"/>
      <c r="C38" s="25" t="s">
        <v>127</v>
      </c>
      <c r="D38" s="93" t="s">
        <v>50</v>
      </c>
      <c r="E38" s="19">
        <v>36013.34</v>
      </c>
      <c r="F38" s="1">
        <v>234039.3</v>
      </c>
      <c r="G38" s="114">
        <v>110100</v>
      </c>
      <c r="H38" s="1">
        <v>89000</v>
      </c>
      <c r="I38" s="39">
        <v>17781.72</v>
      </c>
      <c r="J38" s="39">
        <v>-642.9200000000001</v>
      </c>
      <c r="K38" s="2">
        <f t="shared" si="8"/>
        <v>-18231.619999999995</v>
      </c>
      <c r="L38" s="2">
        <f t="shared" si="2"/>
        <v>-92318.28</v>
      </c>
      <c r="M38" s="2">
        <f t="shared" si="9"/>
        <v>-216257.58</v>
      </c>
      <c r="N38" s="2">
        <f t="shared" si="10"/>
        <v>-89642.92</v>
      </c>
      <c r="O38" s="13">
        <f t="shared" si="11"/>
        <v>0.49375370348876285</v>
      </c>
      <c r="P38" s="13">
        <f t="shared" si="12"/>
        <v>-0.0072238202247191016</v>
      </c>
      <c r="Q38" s="13">
        <f t="shared" si="6"/>
        <v>0.16150517711171664</v>
      </c>
      <c r="R38" s="13">
        <f t="shared" si="7"/>
        <v>0.07597749608719562</v>
      </c>
    </row>
    <row r="39" spans="1:18" ht="31.5">
      <c r="A39" s="174"/>
      <c r="B39" s="142"/>
      <c r="C39" s="22" t="s">
        <v>128</v>
      </c>
      <c r="D39" s="18" t="s">
        <v>51</v>
      </c>
      <c r="E39" s="19">
        <v>12200.95</v>
      </c>
      <c r="F39" s="1">
        <v>42797.9</v>
      </c>
      <c r="G39" s="114">
        <v>11580</v>
      </c>
      <c r="H39" s="1">
        <v>5600</v>
      </c>
      <c r="I39" s="39">
        <v>14779.81</v>
      </c>
      <c r="J39" s="39">
        <v>6424.2699999999995</v>
      </c>
      <c r="K39" s="1">
        <f t="shared" si="8"/>
        <v>2578.8599999999988</v>
      </c>
      <c r="L39" s="1">
        <f t="shared" si="2"/>
        <v>3199.8099999999995</v>
      </c>
      <c r="M39" s="1">
        <f t="shared" si="9"/>
        <v>-28018.090000000004</v>
      </c>
      <c r="N39" s="1">
        <f t="shared" si="10"/>
        <v>824.2699999999995</v>
      </c>
      <c r="O39" s="13">
        <f t="shared" si="11"/>
        <v>1.2113655084235242</v>
      </c>
      <c r="P39" s="13">
        <f t="shared" si="12"/>
        <v>1.1471910714285714</v>
      </c>
      <c r="Q39" s="13">
        <f t="shared" si="6"/>
        <v>1.2763221070811743</v>
      </c>
      <c r="R39" s="13">
        <f t="shared" si="7"/>
        <v>0.3453396077844941</v>
      </c>
    </row>
    <row r="40" spans="1:18" ht="18.75" customHeight="1">
      <c r="A40" s="177"/>
      <c r="B40" s="143"/>
      <c r="C40" s="26" t="s">
        <v>130</v>
      </c>
      <c r="D40" s="96" t="s">
        <v>86</v>
      </c>
      <c r="E40" s="19">
        <v>1581.29</v>
      </c>
      <c r="F40" s="1">
        <v>3022.8</v>
      </c>
      <c r="G40" s="114">
        <v>336</v>
      </c>
      <c r="H40" s="1">
        <v>336</v>
      </c>
      <c r="I40" s="39">
        <v>2308.01</v>
      </c>
      <c r="J40" s="39">
        <v>152.06</v>
      </c>
      <c r="K40" s="1">
        <f t="shared" si="8"/>
        <v>726.7200000000003</v>
      </c>
      <c r="L40" s="1">
        <f t="shared" si="2"/>
        <v>1972.0100000000002</v>
      </c>
      <c r="M40" s="1">
        <f t="shared" si="9"/>
        <v>-714.79</v>
      </c>
      <c r="N40" s="1">
        <f t="shared" si="10"/>
        <v>-183.94</v>
      </c>
      <c r="O40" s="13">
        <f t="shared" si="11"/>
        <v>1.4595741451599644</v>
      </c>
      <c r="P40" s="13">
        <f t="shared" si="12"/>
        <v>0.4525595238095238</v>
      </c>
      <c r="Q40" s="13">
        <f t="shared" si="6"/>
        <v>6.8690773809523815</v>
      </c>
      <c r="R40" s="13">
        <f t="shared" si="7"/>
        <v>0.763533809712849</v>
      </c>
    </row>
    <row r="41" spans="1:18" ht="18" customHeight="1">
      <c r="A41" s="178"/>
      <c r="B41" s="181"/>
      <c r="C41" s="27" t="s">
        <v>131</v>
      </c>
      <c r="D41" s="97" t="s">
        <v>90</v>
      </c>
      <c r="E41" s="19">
        <v>33.89</v>
      </c>
      <c r="F41" s="1">
        <v>0</v>
      </c>
      <c r="G41" s="114"/>
      <c r="H41" s="1">
        <v>0</v>
      </c>
      <c r="I41" s="39">
        <v>24.939999999999998</v>
      </c>
      <c r="J41" s="39">
        <v>11.219999999999999</v>
      </c>
      <c r="K41" s="1">
        <f t="shared" si="8"/>
        <v>-8.950000000000003</v>
      </c>
      <c r="L41" s="1">
        <f t="shared" si="2"/>
        <v>24.939999999999998</v>
      </c>
      <c r="M41" s="1">
        <f t="shared" si="9"/>
        <v>24.939999999999998</v>
      </c>
      <c r="N41" s="1">
        <f t="shared" si="10"/>
        <v>11.219999999999999</v>
      </c>
      <c r="O41" s="13">
        <f t="shared" si="11"/>
        <v>0.7359102980230156</v>
      </c>
      <c r="P41" s="13">
        <f t="shared" si="12"/>
      </c>
      <c r="Q41" s="13">
        <f t="shared" si="6"/>
      </c>
      <c r="R41" s="13">
        <f t="shared" si="7"/>
      </c>
    </row>
    <row r="42" spans="1:18" ht="31.5">
      <c r="A42" s="174"/>
      <c r="B42" s="142"/>
      <c r="C42" s="24" t="s">
        <v>132</v>
      </c>
      <c r="D42" s="93" t="s">
        <v>52</v>
      </c>
      <c r="E42" s="19">
        <v>46587.16</v>
      </c>
      <c r="F42" s="1">
        <v>200388.7</v>
      </c>
      <c r="G42" s="114">
        <v>22830</v>
      </c>
      <c r="H42" s="1">
        <v>11500</v>
      </c>
      <c r="I42" s="39">
        <v>30172.289999999997</v>
      </c>
      <c r="J42" s="39">
        <v>3529.65</v>
      </c>
      <c r="K42" s="1">
        <f t="shared" si="8"/>
        <v>-16414.870000000006</v>
      </c>
      <c r="L42" s="1">
        <f t="shared" si="2"/>
        <v>7342.289999999997</v>
      </c>
      <c r="M42" s="1">
        <f t="shared" si="9"/>
        <v>-170216.41</v>
      </c>
      <c r="N42" s="1">
        <f t="shared" si="10"/>
        <v>-7970.35</v>
      </c>
      <c r="O42" s="13">
        <f t="shared" si="11"/>
        <v>0.6476524862215253</v>
      </c>
      <c r="P42" s="13">
        <f t="shared" si="12"/>
        <v>0.30692608695652174</v>
      </c>
      <c r="Q42" s="13">
        <f t="shared" si="6"/>
        <v>1.3216070959264126</v>
      </c>
      <c r="R42" s="13">
        <f t="shared" si="7"/>
        <v>0.1505688194993031</v>
      </c>
    </row>
    <row r="43" spans="1:18" ht="30" customHeight="1">
      <c r="A43" s="179"/>
      <c r="B43" s="167"/>
      <c r="C43" s="33" t="s">
        <v>133</v>
      </c>
      <c r="D43" s="98" t="s">
        <v>105</v>
      </c>
      <c r="E43" s="19"/>
      <c r="F43" s="20">
        <v>0</v>
      </c>
      <c r="G43" s="114"/>
      <c r="H43" s="20">
        <v>0</v>
      </c>
      <c r="I43" s="39">
        <v>0</v>
      </c>
      <c r="J43" s="39">
        <v>0</v>
      </c>
      <c r="K43" s="1">
        <f t="shared" si="8"/>
        <v>0</v>
      </c>
      <c r="L43" s="1">
        <f t="shared" si="2"/>
        <v>0</v>
      </c>
      <c r="M43" s="1">
        <f t="shared" si="9"/>
        <v>0</v>
      </c>
      <c r="N43" s="1">
        <f t="shared" si="10"/>
        <v>0</v>
      </c>
      <c r="O43" s="13">
        <f t="shared" si="11"/>
      </c>
      <c r="P43" s="13">
        <f t="shared" si="12"/>
      </c>
      <c r="Q43" s="13">
        <f t="shared" si="6"/>
      </c>
      <c r="R43" s="13">
        <f t="shared" si="7"/>
      </c>
    </row>
    <row r="44" spans="1:18" ht="34.5" customHeight="1">
      <c r="A44" s="174"/>
      <c r="B44" s="142"/>
      <c r="C44" s="24" t="s">
        <v>134</v>
      </c>
      <c r="D44" s="93" t="s">
        <v>53</v>
      </c>
      <c r="E44" s="19">
        <v>14793.46</v>
      </c>
      <c r="F44" s="1">
        <v>82177</v>
      </c>
      <c r="G44" s="114">
        <v>9800</v>
      </c>
      <c r="H44" s="1">
        <v>4000</v>
      </c>
      <c r="I44" s="39">
        <v>42867.89</v>
      </c>
      <c r="J44" s="39">
        <v>29262.12</v>
      </c>
      <c r="K44" s="1">
        <f t="shared" si="8"/>
        <v>28074.43</v>
      </c>
      <c r="L44" s="1">
        <f t="shared" si="2"/>
        <v>33067.89</v>
      </c>
      <c r="M44" s="1">
        <f t="shared" si="9"/>
        <v>-39309.11</v>
      </c>
      <c r="N44" s="1">
        <f t="shared" si="10"/>
        <v>25262.12</v>
      </c>
      <c r="O44" s="13">
        <f t="shared" si="11"/>
        <v>2.897759550504074</v>
      </c>
      <c r="P44" s="13">
        <f t="shared" si="12"/>
        <v>7.31553</v>
      </c>
      <c r="Q44" s="13">
        <f t="shared" si="6"/>
        <v>4.374274489795918</v>
      </c>
      <c r="R44" s="13">
        <f t="shared" si="7"/>
        <v>0.5216531389561556</v>
      </c>
    </row>
    <row r="45" spans="1:18" ht="21" customHeight="1">
      <c r="A45" s="180"/>
      <c r="B45" s="182"/>
      <c r="C45" s="31" t="s">
        <v>135</v>
      </c>
      <c r="D45" s="93" t="s">
        <v>106</v>
      </c>
      <c r="E45" s="19"/>
      <c r="F45" s="32">
        <v>0</v>
      </c>
      <c r="G45" s="114"/>
      <c r="H45" s="32">
        <v>0</v>
      </c>
      <c r="I45" s="39">
        <v>127.01</v>
      </c>
      <c r="J45" s="39">
        <v>127.01</v>
      </c>
      <c r="K45" s="1">
        <f t="shared" si="8"/>
        <v>127.01</v>
      </c>
      <c r="L45" s="1">
        <f t="shared" si="2"/>
        <v>127.01</v>
      </c>
      <c r="M45" s="1">
        <f t="shared" si="9"/>
        <v>127.01</v>
      </c>
      <c r="N45" s="1">
        <f t="shared" si="10"/>
        <v>127.01</v>
      </c>
      <c r="O45" s="13">
        <f t="shared" si="11"/>
      </c>
      <c r="P45" s="13">
        <f t="shared" si="12"/>
      </c>
      <c r="Q45" s="13">
        <f t="shared" si="6"/>
      </c>
      <c r="R45" s="38"/>
    </row>
    <row r="46" spans="1:18" ht="18" customHeight="1">
      <c r="A46" s="179"/>
      <c r="B46" s="167"/>
      <c r="C46" s="22" t="s">
        <v>124</v>
      </c>
      <c r="D46" s="18" t="s">
        <v>58</v>
      </c>
      <c r="E46" s="19">
        <v>2104.21</v>
      </c>
      <c r="F46" s="20">
        <v>8857.5</v>
      </c>
      <c r="G46" s="114">
        <v>2214.2000000000003</v>
      </c>
      <c r="H46" s="20">
        <v>2214.2000000000003</v>
      </c>
      <c r="I46" s="39">
        <v>2991.5099999999998</v>
      </c>
      <c r="J46" s="39">
        <v>529.9200000000001</v>
      </c>
      <c r="K46" s="1">
        <f t="shared" si="8"/>
        <v>887.2999999999997</v>
      </c>
      <c r="L46" s="1">
        <f t="shared" si="2"/>
        <v>777.3099999999995</v>
      </c>
      <c r="M46" s="1">
        <f t="shared" si="9"/>
        <v>-5865.99</v>
      </c>
      <c r="N46" s="1">
        <f t="shared" si="10"/>
        <v>-1684.2800000000002</v>
      </c>
      <c r="O46" s="13">
        <f t="shared" si="11"/>
        <v>1.421678444641932</v>
      </c>
      <c r="P46" s="13">
        <f t="shared" si="12"/>
        <v>0.2393279739860898</v>
      </c>
      <c r="Q46" s="13">
        <f t="shared" si="6"/>
        <v>1.3510568151025197</v>
      </c>
      <c r="R46" s="13">
        <f aca="true" t="shared" si="13" ref="R46:R82">_xlfn.IFERROR(I46/F46,"")</f>
        <v>0.3377375105842506</v>
      </c>
    </row>
    <row r="47" spans="1:18" ht="18.75" customHeight="1">
      <c r="A47" s="179"/>
      <c r="B47" s="167"/>
      <c r="C47" s="22" t="s">
        <v>136</v>
      </c>
      <c r="D47" s="18" t="s">
        <v>102</v>
      </c>
      <c r="E47" s="19">
        <v>9775.83</v>
      </c>
      <c r="F47" s="20">
        <v>46764</v>
      </c>
      <c r="G47" s="114">
        <v>11688</v>
      </c>
      <c r="H47" s="20">
        <v>3896</v>
      </c>
      <c r="I47" s="39">
        <v>13856.9</v>
      </c>
      <c r="J47" s="39">
        <v>5253.53</v>
      </c>
      <c r="K47" s="1">
        <f t="shared" si="8"/>
        <v>4081.0699999999997</v>
      </c>
      <c r="L47" s="1">
        <f t="shared" si="2"/>
        <v>2168.8999999999996</v>
      </c>
      <c r="M47" s="1">
        <f t="shared" si="9"/>
        <v>-32907.1</v>
      </c>
      <c r="N47" s="1">
        <f t="shared" si="10"/>
        <v>1357.5299999999997</v>
      </c>
      <c r="O47" s="13">
        <f t="shared" si="11"/>
        <v>1.4174653200802387</v>
      </c>
      <c r="P47" s="13">
        <f t="shared" si="12"/>
        <v>1.3484419917864476</v>
      </c>
      <c r="Q47" s="13">
        <f t="shared" si="6"/>
        <v>1.1855663928815878</v>
      </c>
      <c r="R47" s="13">
        <f t="shared" si="13"/>
        <v>0.2963155418698144</v>
      </c>
    </row>
    <row r="48" spans="1:18" ht="18" customHeight="1">
      <c r="A48" s="174"/>
      <c r="B48" s="174"/>
      <c r="C48" s="82"/>
      <c r="D48" s="94" t="s">
        <v>9</v>
      </c>
      <c r="E48" s="81">
        <f>SUM(E37:E47)</f>
        <v>213043.63</v>
      </c>
      <c r="F48" s="81">
        <f>SUM(F37:F47)</f>
        <v>898999.2</v>
      </c>
      <c r="G48" s="81">
        <f>SUM(G37:G47)</f>
        <v>256148.2</v>
      </c>
      <c r="H48" s="81">
        <f>SUM(H37:H47)</f>
        <v>151146.2</v>
      </c>
      <c r="I48" s="81">
        <f>SUM(I37:I47)</f>
        <v>219682.72</v>
      </c>
      <c r="J48" s="81">
        <f>SUM(J37:J47)</f>
        <v>66405.86000000002</v>
      </c>
      <c r="K48" s="81">
        <f t="shared" si="8"/>
        <v>6639.0899999999965</v>
      </c>
      <c r="L48" s="81">
        <f t="shared" si="2"/>
        <v>-36465.48000000001</v>
      </c>
      <c r="M48" s="81">
        <f t="shared" si="9"/>
        <v>-679316.48</v>
      </c>
      <c r="N48" s="81">
        <f t="shared" si="10"/>
        <v>-84740.34</v>
      </c>
      <c r="O48" s="13">
        <f t="shared" si="11"/>
        <v>1.0311630533144784</v>
      </c>
      <c r="P48" s="13">
        <f t="shared" si="12"/>
        <v>0.4393485248057841</v>
      </c>
      <c r="Q48" s="13">
        <f t="shared" si="6"/>
        <v>0.8576391323460403</v>
      </c>
      <c r="R48" s="13">
        <f t="shared" si="13"/>
        <v>0.24436364348266384</v>
      </c>
    </row>
    <row r="49" spans="1:18" ht="18" customHeight="1">
      <c r="A49" s="174" t="s">
        <v>54</v>
      </c>
      <c r="B49" s="142" t="s">
        <v>55</v>
      </c>
      <c r="C49" s="22" t="s">
        <v>117</v>
      </c>
      <c r="D49" s="18" t="s">
        <v>36</v>
      </c>
      <c r="E49" s="126">
        <v>2731.14</v>
      </c>
      <c r="F49" s="1">
        <v>123</v>
      </c>
      <c r="G49" s="114"/>
      <c r="H49" s="1">
        <v>0</v>
      </c>
      <c r="I49" s="51">
        <v>0</v>
      </c>
      <c r="J49" s="51">
        <v>0</v>
      </c>
      <c r="K49" s="2">
        <f t="shared" si="8"/>
        <v>-2731.14</v>
      </c>
      <c r="L49" s="2">
        <f t="shared" si="2"/>
        <v>0</v>
      </c>
      <c r="M49" s="2">
        <f t="shared" si="9"/>
        <v>-123</v>
      </c>
      <c r="N49" s="2">
        <f t="shared" si="10"/>
        <v>0</v>
      </c>
      <c r="O49" s="13">
        <f t="shared" si="11"/>
        <v>0</v>
      </c>
      <c r="P49" s="13">
        <f t="shared" si="12"/>
      </c>
      <c r="Q49" s="13">
        <f t="shared" si="6"/>
      </c>
      <c r="R49" s="13">
        <f t="shared" si="13"/>
        <v>0</v>
      </c>
    </row>
    <row r="50" spans="1:18" ht="18" customHeight="1">
      <c r="A50" s="174"/>
      <c r="B50" s="142"/>
      <c r="C50" s="82"/>
      <c r="D50" s="99" t="s">
        <v>9</v>
      </c>
      <c r="E50" s="83">
        <f>SUM(E49:E49)</f>
        <v>2731.14</v>
      </c>
      <c r="F50" s="83">
        <f>SUM(F49:F49)</f>
        <v>123</v>
      </c>
      <c r="G50" s="83">
        <f>SUM(G49:G49)</f>
        <v>0</v>
      </c>
      <c r="H50" s="83">
        <f>SUM(H49:H49)</f>
        <v>0</v>
      </c>
      <c r="I50" s="83">
        <f>SUM(I49:I49)</f>
        <v>0</v>
      </c>
      <c r="J50" s="83">
        <f>SUM(J49:J49)</f>
        <v>0</v>
      </c>
      <c r="K50" s="84">
        <f t="shared" si="8"/>
        <v>-2731.14</v>
      </c>
      <c r="L50" s="84">
        <f t="shared" si="2"/>
        <v>0</v>
      </c>
      <c r="M50" s="84">
        <f t="shared" si="9"/>
        <v>-123</v>
      </c>
      <c r="N50" s="84">
        <f t="shared" si="10"/>
        <v>0</v>
      </c>
      <c r="O50" s="13">
        <f t="shared" si="11"/>
        <v>0</v>
      </c>
      <c r="P50" s="13">
        <f t="shared" si="12"/>
      </c>
      <c r="Q50" s="13">
        <f t="shared" si="6"/>
      </c>
      <c r="R50" s="13">
        <f t="shared" si="13"/>
        <v>0</v>
      </c>
    </row>
    <row r="51" spans="1:18" ht="18" customHeight="1">
      <c r="A51" s="185" t="s">
        <v>57</v>
      </c>
      <c r="B51" s="184" t="s">
        <v>84</v>
      </c>
      <c r="C51" s="45" t="s">
        <v>113</v>
      </c>
      <c r="D51" s="100" t="s">
        <v>92</v>
      </c>
      <c r="E51" s="126">
        <v>128491.23</v>
      </c>
      <c r="F51" s="1">
        <v>596188</v>
      </c>
      <c r="G51" s="114">
        <v>144129.5</v>
      </c>
      <c r="H51" s="1">
        <v>50107.8</v>
      </c>
      <c r="I51" s="51">
        <v>151928.41</v>
      </c>
      <c r="J51" s="51">
        <v>43642.44</v>
      </c>
      <c r="K51" s="2">
        <f t="shared" si="8"/>
        <v>23437.180000000008</v>
      </c>
      <c r="L51" s="2">
        <f t="shared" si="2"/>
        <v>7798.9100000000035</v>
      </c>
      <c r="M51" s="2">
        <f t="shared" si="9"/>
        <v>-444259.58999999997</v>
      </c>
      <c r="N51" s="2">
        <f t="shared" si="10"/>
        <v>-6465.360000000001</v>
      </c>
      <c r="O51" s="13">
        <f t="shared" si="11"/>
        <v>1.1824029546607968</v>
      </c>
      <c r="P51" s="13">
        <f t="shared" si="12"/>
        <v>0.8709709865529918</v>
      </c>
      <c r="Q51" s="13">
        <f t="shared" si="6"/>
        <v>1.0541104354070472</v>
      </c>
      <c r="R51" s="13">
        <f t="shared" si="13"/>
        <v>0.2548330560158876</v>
      </c>
    </row>
    <row r="52" spans="1:18" ht="18" customHeight="1">
      <c r="A52" s="153"/>
      <c r="B52" s="149"/>
      <c r="C52" s="45" t="s">
        <v>114</v>
      </c>
      <c r="D52" s="100" t="s">
        <v>87</v>
      </c>
      <c r="E52" s="126">
        <v>75722.55</v>
      </c>
      <c r="F52" s="19">
        <v>454879.5</v>
      </c>
      <c r="G52" s="114">
        <v>84041.40000000001</v>
      </c>
      <c r="H52" s="19">
        <v>26429.8</v>
      </c>
      <c r="I52" s="51">
        <v>96555.39</v>
      </c>
      <c r="J52" s="51">
        <v>24634.67</v>
      </c>
      <c r="K52" s="39">
        <f t="shared" si="8"/>
        <v>20832.839999999997</v>
      </c>
      <c r="L52" s="39">
        <f t="shared" si="2"/>
        <v>12513.98999999999</v>
      </c>
      <c r="M52" s="39">
        <f t="shared" si="9"/>
        <v>-358324.11</v>
      </c>
      <c r="N52" s="39">
        <f>J52-H52</f>
        <v>-1795.130000000001</v>
      </c>
      <c r="O52" s="13">
        <f t="shared" si="11"/>
        <v>1.2751206872985656</v>
      </c>
      <c r="P52" s="13">
        <f t="shared" si="12"/>
        <v>0.9320793195559557</v>
      </c>
      <c r="Q52" s="13">
        <f t="shared" si="6"/>
        <v>1.1489026836773304</v>
      </c>
      <c r="R52" s="13">
        <f t="shared" si="13"/>
        <v>0.2122658638166811</v>
      </c>
    </row>
    <row r="53" spans="1:18" ht="18" customHeight="1">
      <c r="A53" s="153"/>
      <c r="B53" s="149"/>
      <c r="C53" s="45" t="s">
        <v>115</v>
      </c>
      <c r="D53" s="100" t="s">
        <v>88</v>
      </c>
      <c r="E53" s="126">
        <v>793079.44</v>
      </c>
      <c r="F53" s="1">
        <v>4256276</v>
      </c>
      <c r="G53" s="114">
        <v>967477.4</v>
      </c>
      <c r="H53" s="1">
        <v>366181.9</v>
      </c>
      <c r="I53" s="51">
        <v>817101.1200000001</v>
      </c>
      <c r="J53" s="51">
        <v>234153.84</v>
      </c>
      <c r="K53" s="2">
        <f t="shared" si="8"/>
        <v>24021.680000000168</v>
      </c>
      <c r="L53" s="2">
        <f t="shared" si="2"/>
        <v>-150376.2799999999</v>
      </c>
      <c r="M53" s="2">
        <f t="shared" si="9"/>
        <v>-3439174.88</v>
      </c>
      <c r="N53" s="2">
        <f t="shared" si="10"/>
        <v>-132028.06000000003</v>
      </c>
      <c r="O53" s="13">
        <f t="shared" si="11"/>
        <v>1.0302891221086252</v>
      </c>
      <c r="P53" s="13">
        <f t="shared" si="12"/>
        <v>0.6394467886042429</v>
      </c>
      <c r="Q53" s="13">
        <f t="shared" si="6"/>
        <v>0.8445686896665494</v>
      </c>
      <c r="R53" s="13">
        <f t="shared" si="13"/>
        <v>0.1919755955675807</v>
      </c>
    </row>
    <row r="54" spans="1:18" ht="18" customHeight="1">
      <c r="A54" s="153"/>
      <c r="B54" s="149"/>
      <c r="C54" s="45" t="s">
        <v>116</v>
      </c>
      <c r="D54" s="100" t="s">
        <v>89</v>
      </c>
      <c r="E54" s="126">
        <v>316.57</v>
      </c>
      <c r="F54" s="1">
        <v>1182.8</v>
      </c>
      <c r="G54" s="114">
        <v>292</v>
      </c>
      <c r="H54" s="1">
        <v>122</v>
      </c>
      <c r="I54" s="51">
        <v>182.1</v>
      </c>
      <c r="J54" s="51">
        <v>57.8</v>
      </c>
      <c r="K54" s="2">
        <f t="shared" si="8"/>
        <v>-134.47</v>
      </c>
      <c r="L54" s="2">
        <f t="shared" si="2"/>
        <v>-109.9</v>
      </c>
      <c r="M54" s="2">
        <f t="shared" si="9"/>
        <v>-1000.6999999999999</v>
      </c>
      <c r="N54" s="2">
        <f t="shared" si="10"/>
        <v>-64.2</v>
      </c>
      <c r="O54" s="13">
        <f t="shared" si="11"/>
        <v>0.5752282275642038</v>
      </c>
      <c r="P54" s="13">
        <f t="shared" si="12"/>
        <v>0.4737704918032787</v>
      </c>
      <c r="Q54" s="13">
        <f t="shared" si="6"/>
        <v>0.6236301369863013</v>
      </c>
      <c r="R54" s="13">
        <f t="shared" si="13"/>
        <v>0.1539567128846804</v>
      </c>
    </row>
    <row r="55" spans="1:18" ht="18" customHeight="1">
      <c r="A55" s="155"/>
      <c r="B55" s="151"/>
      <c r="C55" s="85"/>
      <c r="D55" s="101" t="s">
        <v>9</v>
      </c>
      <c r="E55" s="3">
        <f>SUM(E51:E54)</f>
        <v>997609.7899999999</v>
      </c>
      <c r="F55" s="3">
        <f>SUM(F51:F54)</f>
        <v>5308526.3</v>
      </c>
      <c r="G55" s="3">
        <f>SUM(G51:G54)</f>
        <v>1195940.3</v>
      </c>
      <c r="H55" s="3">
        <f>SUM(H51:H54)</f>
        <v>442841.5</v>
      </c>
      <c r="I55" s="3">
        <f>SUM(I51:I54)</f>
        <v>1065767.0200000003</v>
      </c>
      <c r="J55" s="3">
        <f>SUM(J51:J54)</f>
        <v>302488.75</v>
      </c>
      <c r="K55" s="3">
        <f t="shared" si="8"/>
        <v>68157.23000000033</v>
      </c>
      <c r="L55" s="3">
        <f t="shared" si="2"/>
        <v>-130173.2799999998</v>
      </c>
      <c r="M55" s="3">
        <f t="shared" si="9"/>
        <v>-4242759.279999999</v>
      </c>
      <c r="N55" s="3">
        <f t="shared" si="10"/>
        <v>-140352.75</v>
      </c>
      <c r="O55" s="13">
        <f t="shared" si="11"/>
        <v>1.0683205304150036</v>
      </c>
      <c r="P55" s="13">
        <f t="shared" si="12"/>
        <v>0.6830632404596226</v>
      </c>
      <c r="Q55" s="13">
        <f t="shared" si="6"/>
        <v>0.891154031685361</v>
      </c>
      <c r="R55" s="13">
        <f t="shared" si="13"/>
        <v>0.20076513890493494</v>
      </c>
    </row>
    <row r="56" spans="1:18" ht="18" customHeight="1">
      <c r="A56" s="183">
        <v>991</v>
      </c>
      <c r="B56" s="183" t="s">
        <v>59</v>
      </c>
      <c r="C56" s="24" t="s">
        <v>37</v>
      </c>
      <c r="D56" s="93" t="s">
        <v>60</v>
      </c>
      <c r="E56" s="126">
        <v>11941.06</v>
      </c>
      <c r="F56" s="1">
        <v>67760.3</v>
      </c>
      <c r="G56" s="114">
        <v>15500</v>
      </c>
      <c r="H56" s="1">
        <v>5600</v>
      </c>
      <c r="I56" s="51">
        <v>13295.6</v>
      </c>
      <c r="J56" s="51">
        <v>4155.57</v>
      </c>
      <c r="K56" s="1">
        <f t="shared" si="8"/>
        <v>1354.5400000000009</v>
      </c>
      <c r="L56" s="1">
        <f t="shared" si="2"/>
        <v>-2204.3999999999996</v>
      </c>
      <c r="M56" s="1">
        <f t="shared" si="9"/>
        <v>-54464.700000000004</v>
      </c>
      <c r="N56" s="1">
        <f t="shared" si="10"/>
        <v>-1444.4300000000003</v>
      </c>
      <c r="O56" s="13">
        <f t="shared" si="11"/>
        <v>1.1134354906515838</v>
      </c>
      <c r="P56" s="13">
        <f t="shared" si="12"/>
        <v>0.7420660714285714</v>
      </c>
      <c r="Q56" s="13">
        <f t="shared" si="6"/>
        <v>0.8577806451612904</v>
      </c>
      <c r="R56" s="13">
        <f t="shared" si="13"/>
        <v>0.19621518794928594</v>
      </c>
    </row>
    <row r="57" spans="1:18" ht="19.5" customHeight="1">
      <c r="A57" s="183"/>
      <c r="B57" s="183"/>
      <c r="C57" s="22" t="s">
        <v>61</v>
      </c>
      <c r="D57" s="18" t="s">
        <v>62</v>
      </c>
      <c r="E57" s="126">
        <v>2263.47</v>
      </c>
      <c r="F57" s="1">
        <v>0</v>
      </c>
      <c r="G57" s="114"/>
      <c r="H57" s="1">
        <v>0</v>
      </c>
      <c r="I57" s="51">
        <v>2566.81</v>
      </c>
      <c r="J57" s="51">
        <v>2002.53</v>
      </c>
      <c r="K57" s="1">
        <f t="shared" si="8"/>
        <v>303.34000000000015</v>
      </c>
      <c r="L57" s="1">
        <f t="shared" si="2"/>
        <v>2566.81</v>
      </c>
      <c r="M57" s="1">
        <f t="shared" si="9"/>
        <v>2566.81</v>
      </c>
      <c r="N57" s="1">
        <f t="shared" si="10"/>
        <v>2002.53</v>
      </c>
      <c r="O57" s="13">
        <f t="shared" si="11"/>
        <v>1.1340154718198165</v>
      </c>
      <c r="P57" s="13">
        <f t="shared" si="12"/>
      </c>
      <c r="Q57" s="13">
        <f t="shared" si="6"/>
      </c>
      <c r="R57" s="13">
        <f t="shared" si="13"/>
      </c>
    </row>
    <row r="58" spans="1:18" ht="15.75" customHeight="1">
      <c r="A58" s="183"/>
      <c r="B58" s="183"/>
      <c r="C58" s="82"/>
      <c r="D58" s="94" t="s">
        <v>9</v>
      </c>
      <c r="E58" s="81">
        <f>SUM(E56:E57)</f>
        <v>14204.529999999999</v>
      </c>
      <c r="F58" s="81">
        <f>SUM(F56:F57)</f>
        <v>67760.3</v>
      </c>
      <c r="G58" s="81">
        <f>SUM(G56:G57)</f>
        <v>15500</v>
      </c>
      <c r="H58" s="81">
        <f>SUM(H56:H57)</f>
        <v>5600</v>
      </c>
      <c r="I58" s="81">
        <f>SUM(I56:I57)</f>
        <v>15862.41</v>
      </c>
      <c r="J58" s="81">
        <f>SUM(J56:J57)</f>
        <v>6158.099999999999</v>
      </c>
      <c r="K58" s="81">
        <f t="shared" si="8"/>
        <v>1657.880000000001</v>
      </c>
      <c r="L58" s="81">
        <f t="shared" si="2"/>
        <v>362.40999999999985</v>
      </c>
      <c r="M58" s="81">
        <f t="shared" si="9"/>
        <v>-51897.89</v>
      </c>
      <c r="N58" s="81">
        <f t="shared" si="10"/>
        <v>558.0999999999995</v>
      </c>
      <c r="O58" s="13">
        <f t="shared" si="11"/>
        <v>1.1167148789857884</v>
      </c>
      <c r="P58" s="13">
        <f t="shared" si="12"/>
        <v>1.0996607142857142</v>
      </c>
      <c r="Q58" s="13">
        <f t="shared" si="6"/>
        <v>1.0233812903225807</v>
      </c>
      <c r="R58" s="30">
        <f t="shared" si="13"/>
        <v>0.2340959234241879</v>
      </c>
    </row>
    <row r="59" spans="1:18" ht="18" customHeight="1">
      <c r="A59" s="174" t="s">
        <v>63</v>
      </c>
      <c r="B59" s="142" t="s">
        <v>64</v>
      </c>
      <c r="C59" s="22" t="s">
        <v>118</v>
      </c>
      <c r="D59" s="18" t="s">
        <v>65</v>
      </c>
      <c r="E59" s="126">
        <v>4767.860000000001</v>
      </c>
      <c r="F59" s="1">
        <v>10532.900000000001</v>
      </c>
      <c r="G59" s="114">
        <v>2698.2999999999997</v>
      </c>
      <c r="H59" s="1">
        <v>2201.7</v>
      </c>
      <c r="I59" s="51">
        <v>17675.190000000002</v>
      </c>
      <c r="J59" s="51">
        <v>6753.179999999999</v>
      </c>
      <c r="K59" s="1">
        <f t="shared" si="8"/>
        <v>12907.330000000002</v>
      </c>
      <c r="L59" s="1">
        <f t="shared" si="2"/>
        <v>14976.890000000003</v>
      </c>
      <c r="M59" s="1">
        <f t="shared" si="9"/>
        <v>7142.290000000001</v>
      </c>
      <c r="N59" s="1">
        <f t="shared" si="10"/>
        <v>4551.48</v>
      </c>
      <c r="O59" s="30">
        <f t="shared" si="11"/>
        <v>3.7071537335408338</v>
      </c>
      <c r="P59" s="30">
        <f t="shared" si="12"/>
        <v>3.0672571194985694</v>
      </c>
      <c r="Q59" s="30">
        <f t="shared" si="6"/>
        <v>6.550491049920322</v>
      </c>
      <c r="R59" s="13">
        <f t="shared" si="13"/>
        <v>1.6780934025766883</v>
      </c>
    </row>
    <row r="60" spans="1:18" ht="18" customHeight="1">
      <c r="A60" s="175"/>
      <c r="B60" s="176"/>
      <c r="C60" s="46" t="s">
        <v>119</v>
      </c>
      <c r="D60" s="102" t="s">
        <v>107</v>
      </c>
      <c r="E60" s="127">
        <v>4589.34</v>
      </c>
      <c r="F60" s="47">
        <v>50222.8</v>
      </c>
      <c r="G60" s="134">
        <f>1100+500</f>
        <v>1600</v>
      </c>
      <c r="H60" s="135">
        <f>500+500</f>
        <v>1000</v>
      </c>
      <c r="I60" s="52">
        <v>1575.48</v>
      </c>
      <c r="J60" s="52">
        <v>228.69</v>
      </c>
      <c r="K60" s="1">
        <f t="shared" si="8"/>
        <v>-3013.86</v>
      </c>
      <c r="L60" s="1">
        <f t="shared" si="2"/>
        <v>-24.519999999999982</v>
      </c>
      <c r="M60" s="1">
        <f t="shared" si="9"/>
        <v>-48647.32</v>
      </c>
      <c r="N60" s="1">
        <f t="shared" si="10"/>
        <v>-771.31</v>
      </c>
      <c r="O60" s="30">
        <f t="shared" si="11"/>
        <v>0.34329119219757087</v>
      </c>
      <c r="P60" s="30">
        <f t="shared" si="12"/>
        <v>0.22869</v>
      </c>
      <c r="Q60" s="30">
        <f t="shared" si="6"/>
        <v>0.984675</v>
      </c>
      <c r="R60" s="13">
        <f t="shared" si="13"/>
        <v>0.0313698160994608</v>
      </c>
    </row>
    <row r="61" spans="1:18" ht="18" customHeight="1">
      <c r="A61" s="174"/>
      <c r="B61" s="142"/>
      <c r="C61" s="78"/>
      <c r="D61" s="101" t="s">
        <v>9</v>
      </c>
      <c r="E61" s="3">
        <f>SUBTOTAL(9,E59:E60)</f>
        <v>9357.2</v>
      </c>
      <c r="F61" s="3">
        <f>SUBTOTAL(9,F59:F60)</f>
        <v>60755.700000000004</v>
      </c>
      <c r="G61" s="133">
        <f>SUBTOTAL(9,G59:G60)</f>
        <v>4298.299999999999</v>
      </c>
      <c r="H61" s="133">
        <f>SUBTOTAL(9,H59:H60)</f>
        <v>3201.7</v>
      </c>
      <c r="I61" s="133">
        <f>SUBTOTAL(9,I59:I60)</f>
        <v>19250.670000000002</v>
      </c>
      <c r="J61" s="133">
        <f>SUBTOTAL(9,J59:J60)</f>
        <v>6981.869999999999</v>
      </c>
      <c r="K61" s="3">
        <f t="shared" si="8"/>
        <v>9893.470000000001</v>
      </c>
      <c r="L61" s="3">
        <f t="shared" si="2"/>
        <v>14952.370000000003</v>
      </c>
      <c r="M61" s="3">
        <f t="shared" si="9"/>
        <v>-41505.03</v>
      </c>
      <c r="N61" s="3">
        <f t="shared" si="10"/>
        <v>3780.169999999999</v>
      </c>
      <c r="O61" s="13">
        <f t="shared" si="11"/>
        <v>2.057310947719403</v>
      </c>
      <c r="P61" s="13">
        <f t="shared" si="12"/>
        <v>2.1806758909329416</v>
      </c>
      <c r="Q61" s="13">
        <f t="shared" si="6"/>
        <v>4.478670637228673</v>
      </c>
      <c r="R61" s="13">
        <f t="shared" si="13"/>
        <v>0.3168537273045986</v>
      </c>
    </row>
    <row r="62" spans="1:18" ht="18" customHeight="1">
      <c r="A62" s="142"/>
      <c r="B62" s="142" t="s">
        <v>66</v>
      </c>
      <c r="C62" s="22" t="s">
        <v>137</v>
      </c>
      <c r="D62" s="95" t="s">
        <v>67</v>
      </c>
      <c r="E62" s="126">
        <v>46.84</v>
      </c>
      <c r="F62" s="1">
        <v>254.5</v>
      </c>
      <c r="G62" s="134">
        <v>63.599999999999994</v>
      </c>
      <c r="H62" s="136">
        <v>21.2</v>
      </c>
      <c r="I62" s="51">
        <v>107.91</v>
      </c>
      <c r="J62" s="51">
        <v>11.26</v>
      </c>
      <c r="K62" s="1">
        <f t="shared" si="8"/>
        <v>61.06999999999999</v>
      </c>
      <c r="L62" s="1">
        <f t="shared" si="2"/>
        <v>44.31</v>
      </c>
      <c r="M62" s="1">
        <f t="shared" si="9"/>
        <v>-146.59</v>
      </c>
      <c r="N62" s="1">
        <f t="shared" si="10"/>
        <v>-9.94</v>
      </c>
      <c r="O62" s="13">
        <f t="shared" si="11"/>
        <v>2.303800170794193</v>
      </c>
      <c r="P62" s="13">
        <f t="shared" si="12"/>
        <v>0.5311320754716982</v>
      </c>
      <c r="Q62" s="13">
        <f t="shared" si="6"/>
        <v>1.6966981132075474</v>
      </c>
      <c r="R62" s="13">
        <f t="shared" si="13"/>
        <v>0.42400785854616896</v>
      </c>
    </row>
    <row r="63" spans="1:18" ht="18" customHeight="1">
      <c r="A63" s="143"/>
      <c r="B63" s="143"/>
      <c r="C63" s="22" t="s">
        <v>130</v>
      </c>
      <c r="D63" s="18" t="s">
        <v>99</v>
      </c>
      <c r="E63" s="126">
        <v>-58.82</v>
      </c>
      <c r="F63" s="4">
        <v>49.4</v>
      </c>
      <c r="G63" s="134">
        <v>49.4</v>
      </c>
      <c r="H63" s="137">
        <v>0</v>
      </c>
      <c r="I63" s="51">
        <v>383.61</v>
      </c>
      <c r="J63" s="51">
        <v>-12.84</v>
      </c>
      <c r="K63" s="4">
        <f t="shared" si="8"/>
        <v>442.43</v>
      </c>
      <c r="L63" s="4">
        <f t="shared" si="2"/>
        <v>334.21000000000004</v>
      </c>
      <c r="M63" s="4">
        <f t="shared" si="9"/>
        <v>334.21000000000004</v>
      </c>
      <c r="N63" s="4">
        <f t="shared" si="10"/>
        <v>-12.84</v>
      </c>
      <c r="O63" s="13">
        <f t="shared" si="11"/>
        <v>-6.521761305678341</v>
      </c>
      <c r="P63" s="13">
        <f t="shared" si="12"/>
      </c>
      <c r="Q63" s="13">
        <f t="shared" si="6"/>
        <v>7.765384615384616</v>
      </c>
      <c r="R63" s="13">
        <f t="shared" si="13"/>
        <v>7.765384615384616</v>
      </c>
    </row>
    <row r="64" spans="1:18" ht="18" customHeight="1">
      <c r="A64" s="142"/>
      <c r="B64" s="142"/>
      <c r="C64" s="22" t="s">
        <v>117</v>
      </c>
      <c r="D64" s="18" t="s">
        <v>36</v>
      </c>
      <c r="E64" s="126"/>
      <c r="F64" s="1">
        <v>0</v>
      </c>
      <c r="G64" s="114"/>
      <c r="H64" s="1">
        <v>0</v>
      </c>
      <c r="I64" s="51">
        <v>0</v>
      </c>
      <c r="J64" s="51">
        <v>0</v>
      </c>
      <c r="K64" s="1">
        <f t="shared" si="8"/>
        <v>0</v>
      </c>
      <c r="L64" s="1">
        <f t="shared" si="2"/>
        <v>0</v>
      </c>
      <c r="M64" s="1">
        <f t="shared" si="9"/>
        <v>0</v>
      </c>
      <c r="N64" s="1">
        <f t="shared" si="10"/>
        <v>0</v>
      </c>
      <c r="O64" s="13">
        <f t="shared" si="11"/>
      </c>
      <c r="P64" s="13">
        <f t="shared" si="12"/>
      </c>
      <c r="Q64" s="13">
        <f t="shared" si="6"/>
      </c>
      <c r="R64" s="13">
        <f t="shared" si="13"/>
      </c>
    </row>
    <row r="65" spans="1:18" ht="17.25" customHeight="1">
      <c r="A65" s="142"/>
      <c r="B65" s="142"/>
      <c r="C65" s="22" t="s">
        <v>138</v>
      </c>
      <c r="D65" s="18" t="s">
        <v>56</v>
      </c>
      <c r="E65" s="126">
        <v>12248.649999999972</v>
      </c>
      <c r="F65" s="1">
        <v>965.4</v>
      </c>
      <c r="G65" s="134">
        <f>160+250</f>
        <v>410</v>
      </c>
      <c r="H65" s="136">
        <f>60+250</f>
        <v>310</v>
      </c>
      <c r="I65" s="51">
        <v>31303.579999999765</v>
      </c>
      <c r="J65" s="51">
        <v>16024.219999999934</v>
      </c>
      <c r="K65" s="1">
        <f t="shared" si="8"/>
        <v>19054.929999999793</v>
      </c>
      <c r="L65" s="1">
        <f t="shared" si="2"/>
        <v>30893.579999999765</v>
      </c>
      <c r="M65" s="1">
        <f t="shared" si="9"/>
        <v>30338.179999999764</v>
      </c>
      <c r="N65" s="1">
        <f t="shared" si="10"/>
        <v>15714.219999999934</v>
      </c>
      <c r="O65" s="40">
        <f t="shared" si="11"/>
        <v>2.5556759316332687</v>
      </c>
      <c r="P65" s="40">
        <f t="shared" si="12"/>
        <v>51.691032258064304</v>
      </c>
      <c r="Q65" s="40">
        <f t="shared" si="6"/>
        <v>76.35019512195065</v>
      </c>
      <c r="R65" s="40">
        <f t="shared" si="13"/>
        <v>32.42550238243191</v>
      </c>
    </row>
    <row r="66" spans="1:18" ht="18" customHeight="1">
      <c r="A66" s="142"/>
      <c r="B66" s="142"/>
      <c r="C66" s="22" t="s">
        <v>124</v>
      </c>
      <c r="D66" s="18" t="s">
        <v>58</v>
      </c>
      <c r="E66" s="126">
        <v>15150.970000000008</v>
      </c>
      <c r="F66" s="1">
        <v>113685.69999999997</v>
      </c>
      <c r="G66" s="134">
        <f>18899.9+1460</f>
        <v>20359.9</v>
      </c>
      <c r="H66" s="136">
        <f>7990.2+1460</f>
        <v>9450.2</v>
      </c>
      <c r="I66" s="51">
        <v>23591.059999999998</v>
      </c>
      <c r="J66" s="51">
        <v>8576.519999999993</v>
      </c>
      <c r="K66" s="1">
        <f t="shared" si="8"/>
        <v>8440.08999999999</v>
      </c>
      <c r="L66" s="1">
        <f t="shared" si="2"/>
        <v>3231.159999999996</v>
      </c>
      <c r="M66" s="1">
        <f t="shared" si="9"/>
        <v>-90094.63999999997</v>
      </c>
      <c r="N66" s="1">
        <f t="shared" si="10"/>
        <v>-873.6800000000076</v>
      </c>
      <c r="O66" s="13">
        <f t="shared" si="11"/>
        <v>1.5570659832340756</v>
      </c>
      <c r="P66" s="13">
        <f t="shared" si="12"/>
        <v>0.907549046581024</v>
      </c>
      <c r="Q66" s="13">
        <f t="shared" si="6"/>
        <v>1.1587021547257106</v>
      </c>
      <c r="R66" s="13">
        <f t="shared" si="13"/>
        <v>0.20751123492224618</v>
      </c>
    </row>
    <row r="67" spans="1:18" ht="18" customHeight="1">
      <c r="A67" s="142"/>
      <c r="B67" s="142"/>
      <c r="C67" s="22" t="s">
        <v>139</v>
      </c>
      <c r="D67" s="18" t="s">
        <v>68</v>
      </c>
      <c r="E67" s="126">
        <v>-6135.21</v>
      </c>
      <c r="F67" s="1">
        <v>0</v>
      </c>
      <c r="G67" s="114"/>
      <c r="H67" s="1">
        <v>0</v>
      </c>
      <c r="I67" s="51">
        <v>-3.55</v>
      </c>
      <c r="J67" s="51">
        <v>-3.07</v>
      </c>
      <c r="K67" s="1">
        <f t="shared" si="8"/>
        <v>6131.66</v>
      </c>
      <c r="L67" s="1">
        <f t="shared" si="2"/>
        <v>-3.55</v>
      </c>
      <c r="M67" s="1">
        <f t="shared" si="9"/>
        <v>-3.55</v>
      </c>
      <c r="N67" s="1">
        <f t="shared" si="10"/>
        <v>-3.07</v>
      </c>
      <c r="O67" s="13">
        <f t="shared" si="11"/>
        <v>0.0005786273004510032</v>
      </c>
      <c r="P67" s="13">
        <f t="shared" si="12"/>
      </c>
      <c r="Q67" s="13">
        <f t="shared" si="6"/>
      </c>
      <c r="R67" s="13">
        <f t="shared" si="13"/>
      </c>
    </row>
    <row r="68" spans="1:18" s="10" customFormat="1" ht="18" customHeight="1">
      <c r="A68" s="144"/>
      <c r="B68" s="144"/>
      <c r="C68" s="119" t="s">
        <v>103</v>
      </c>
      <c r="D68" s="121" t="s">
        <v>48</v>
      </c>
      <c r="E68" s="19">
        <f>596.05+53.17</f>
        <v>649.2199999999999</v>
      </c>
      <c r="F68" s="1">
        <v>0</v>
      </c>
      <c r="G68" s="114"/>
      <c r="H68" s="1">
        <v>0</v>
      </c>
      <c r="I68" s="39">
        <v>229.03</v>
      </c>
      <c r="J68" s="39">
        <v>31.78</v>
      </c>
      <c r="K68" s="1">
        <f t="shared" si="8"/>
        <v>-420.18999999999994</v>
      </c>
      <c r="L68" s="1">
        <f t="shared" si="2"/>
        <v>229.03</v>
      </c>
      <c r="M68" s="1">
        <f t="shared" si="9"/>
        <v>229.03</v>
      </c>
      <c r="N68" s="1">
        <f t="shared" si="10"/>
        <v>31.78</v>
      </c>
      <c r="O68" s="13">
        <f t="shared" si="11"/>
        <v>0.3527771787683682</v>
      </c>
      <c r="P68" s="13">
        <f t="shared" si="12"/>
      </c>
      <c r="Q68" s="13">
        <f t="shared" si="6"/>
      </c>
      <c r="R68" s="13">
        <f t="shared" si="13"/>
      </c>
    </row>
    <row r="69" spans="1:18" ht="17.25" customHeight="1">
      <c r="A69" s="145"/>
      <c r="B69" s="145"/>
      <c r="C69" s="22" t="s">
        <v>140</v>
      </c>
      <c r="D69" s="18" t="s">
        <v>100</v>
      </c>
      <c r="E69" s="126">
        <v>288.58</v>
      </c>
      <c r="F69" s="1">
        <v>0</v>
      </c>
      <c r="G69" s="114"/>
      <c r="H69" s="1">
        <v>0</v>
      </c>
      <c r="I69" s="51">
        <v>83.35</v>
      </c>
      <c r="J69" s="51">
        <v>83.35</v>
      </c>
      <c r="K69" s="1">
        <f t="shared" si="8"/>
        <v>-205.23</v>
      </c>
      <c r="L69" s="1">
        <f t="shared" si="2"/>
        <v>83.35</v>
      </c>
      <c r="M69" s="1">
        <f aca="true" t="shared" si="14" ref="M69:M82">I69-F69</f>
        <v>83.35</v>
      </c>
      <c r="N69" s="1">
        <f aca="true" t="shared" si="15" ref="N69:N82">J69-H69</f>
        <v>83.35</v>
      </c>
      <c r="O69" s="13">
        <f aca="true" t="shared" si="16" ref="O69:O82">_xlfn.IFERROR(I69/E69,"")</f>
        <v>0.28882805461223926</v>
      </c>
      <c r="P69" s="13">
        <f aca="true" t="shared" si="17" ref="P69:P81">_xlfn.IFERROR(J69/H69,"")</f>
      </c>
      <c r="Q69" s="13">
        <f t="shared" si="6"/>
      </c>
      <c r="R69" s="13">
        <f t="shared" si="13"/>
      </c>
    </row>
    <row r="70" spans="1:18" ht="15.75">
      <c r="A70" s="142"/>
      <c r="B70" s="142"/>
      <c r="C70" s="78"/>
      <c r="D70" s="94" t="s">
        <v>69</v>
      </c>
      <c r="E70" s="81">
        <f>SUM(E62:E69)</f>
        <v>22190.229999999985</v>
      </c>
      <c r="F70" s="81">
        <f>SUM(F62:F69)</f>
        <v>114954.99999999997</v>
      </c>
      <c r="G70" s="81">
        <f>SUM(G62:G69)</f>
        <v>20882.9</v>
      </c>
      <c r="H70" s="81">
        <f>SUM(H62:H69)</f>
        <v>9781.400000000001</v>
      </c>
      <c r="I70" s="81">
        <f>SUM(I62:I69)</f>
        <v>55694.98999999976</v>
      </c>
      <c r="J70" s="81">
        <f>SUM(J62:J69)</f>
        <v>24711.219999999925</v>
      </c>
      <c r="K70" s="86">
        <f t="shared" si="8"/>
        <v>33504.75999999978</v>
      </c>
      <c r="L70" s="86">
        <f aca="true" t="shared" si="18" ref="L70:L82">I70-G70</f>
        <v>34812.08999999976</v>
      </c>
      <c r="M70" s="86">
        <f t="shared" si="14"/>
        <v>-59260.01000000021</v>
      </c>
      <c r="N70" s="86">
        <f t="shared" si="15"/>
        <v>14929.819999999923</v>
      </c>
      <c r="O70" s="87">
        <f t="shared" si="16"/>
        <v>2.5098879101298093</v>
      </c>
      <c r="P70" s="87">
        <f t="shared" si="17"/>
        <v>2.5263479665487476</v>
      </c>
      <c r="Q70" s="87">
        <f aca="true" t="shared" si="19" ref="Q70:Q82">_xlfn.IFERROR(I70/G70,"")</f>
        <v>2.6670141599107287</v>
      </c>
      <c r="R70" s="30">
        <f t="shared" si="13"/>
        <v>0.4844938454177702</v>
      </c>
    </row>
    <row r="71" spans="1:18" s="16" customFormat="1" ht="23.25" customHeight="1">
      <c r="A71" s="146" t="s">
        <v>70</v>
      </c>
      <c r="B71" s="146"/>
      <c r="C71" s="147"/>
      <c r="D71" s="146"/>
      <c r="E71" s="36">
        <f>E5+E21</f>
        <v>3181338.563333333</v>
      </c>
      <c r="F71" s="36">
        <f>F5+F21</f>
        <v>30174912.299999997</v>
      </c>
      <c r="G71" s="36">
        <f>G5+G21</f>
        <v>5672943</v>
      </c>
      <c r="H71" s="36">
        <f>H5+H21</f>
        <v>1957982.1999999997</v>
      </c>
      <c r="I71" s="36">
        <f>I5+I21</f>
        <v>4593900.829999999</v>
      </c>
      <c r="J71" s="36">
        <f>J5+J21</f>
        <v>590173.9699999999</v>
      </c>
      <c r="K71" s="37">
        <f t="shared" si="8"/>
        <v>1412562.2666666661</v>
      </c>
      <c r="L71" s="37">
        <f t="shared" si="18"/>
        <v>-1079042.1700000009</v>
      </c>
      <c r="M71" s="37">
        <f t="shared" si="14"/>
        <v>-25581011.47</v>
      </c>
      <c r="N71" s="37">
        <f t="shared" si="15"/>
        <v>-1367808.23</v>
      </c>
      <c r="O71" s="35">
        <f t="shared" si="16"/>
        <v>1.4440150705577894</v>
      </c>
      <c r="P71" s="35">
        <f t="shared" si="17"/>
        <v>0.30141947664284174</v>
      </c>
      <c r="Q71" s="35">
        <f t="shared" si="19"/>
        <v>0.8097914662636305</v>
      </c>
      <c r="R71" s="35">
        <f t="shared" si="13"/>
        <v>0.1522423921013351</v>
      </c>
    </row>
    <row r="72" spans="1:18" s="56" customFormat="1" ht="28.5" customHeight="1">
      <c r="A72" s="103"/>
      <c r="B72" s="104"/>
      <c r="C72" s="89"/>
      <c r="D72" s="55" t="s">
        <v>71</v>
      </c>
      <c r="E72" s="53">
        <f>SUM(E73:E81)</f>
        <v>3733627.96</v>
      </c>
      <c r="F72" s="53">
        <f>SUM(F73:F81)</f>
        <v>23572334.62</v>
      </c>
      <c r="G72" s="53">
        <f>SUM(G73:G81)</f>
        <v>4895753.84</v>
      </c>
      <c r="H72" s="53">
        <f>SUM(H73:H81)</f>
        <v>2340306.53</v>
      </c>
      <c r="I72" s="53">
        <f>SUM(I73:I81)</f>
        <v>4856931.01</v>
      </c>
      <c r="J72" s="53">
        <f>SUM(J73:J81)</f>
        <v>2374933.93</v>
      </c>
      <c r="K72" s="37">
        <f t="shared" si="8"/>
        <v>1123303.0499999998</v>
      </c>
      <c r="L72" s="37">
        <f t="shared" si="18"/>
        <v>-38822.830000000075</v>
      </c>
      <c r="M72" s="37">
        <f t="shared" si="14"/>
        <v>-18715403.61</v>
      </c>
      <c r="N72" s="37">
        <f t="shared" si="15"/>
        <v>34627.40000000037</v>
      </c>
      <c r="O72" s="35">
        <f t="shared" si="16"/>
        <v>1.3008610022301204</v>
      </c>
      <c r="P72" s="35">
        <f t="shared" si="17"/>
        <v>1.0147960959626945</v>
      </c>
      <c r="Q72" s="35">
        <f t="shared" si="19"/>
        <v>0.9920701017108328</v>
      </c>
      <c r="R72" s="35">
        <f t="shared" si="13"/>
        <v>0.2060436986109609</v>
      </c>
    </row>
    <row r="73" spans="1:18" ht="19.5" customHeight="1">
      <c r="A73" s="152"/>
      <c r="B73" s="148"/>
      <c r="C73" s="22" t="s">
        <v>141</v>
      </c>
      <c r="D73" s="5" t="s">
        <v>72</v>
      </c>
      <c r="E73" s="19">
        <v>258324</v>
      </c>
      <c r="F73" s="1">
        <v>284166.8</v>
      </c>
      <c r="G73" s="114">
        <v>151433.2</v>
      </c>
      <c r="H73" s="1">
        <v>43088.1</v>
      </c>
      <c r="I73" s="39">
        <v>151433.2</v>
      </c>
      <c r="J73" s="2">
        <v>0</v>
      </c>
      <c r="K73" s="39">
        <f t="shared" si="8"/>
        <v>-106890.79999999999</v>
      </c>
      <c r="L73" s="39">
        <f t="shared" si="18"/>
        <v>0</v>
      </c>
      <c r="M73" s="39">
        <f>I73-F73</f>
        <v>-132733.59999999998</v>
      </c>
      <c r="N73" s="39">
        <f>J73-H73</f>
        <v>-43088.1</v>
      </c>
      <c r="O73" s="34">
        <f t="shared" si="16"/>
        <v>0.5862142116102259</v>
      </c>
      <c r="P73" s="34">
        <f t="shared" si="17"/>
        <v>0</v>
      </c>
      <c r="Q73" s="34">
        <f t="shared" si="19"/>
        <v>1</v>
      </c>
      <c r="R73" s="34">
        <f t="shared" si="13"/>
        <v>0.5329025065560087</v>
      </c>
    </row>
    <row r="74" spans="1:18" ht="18" customHeight="1">
      <c r="A74" s="153"/>
      <c r="B74" s="149"/>
      <c r="C74" s="22" t="s">
        <v>142</v>
      </c>
      <c r="D74" s="5" t="s">
        <v>73</v>
      </c>
      <c r="E74" s="19">
        <v>252277.78999999995</v>
      </c>
      <c r="F74" s="1">
        <v>6602977.8500000015</v>
      </c>
      <c r="G74" s="114">
        <v>870190.6299999999</v>
      </c>
      <c r="H74" s="19">
        <v>803609.6599999999</v>
      </c>
      <c r="I74" s="39">
        <v>870190.6299999999</v>
      </c>
      <c r="J74" s="39">
        <v>803609.6599999999</v>
      </c>
      <c r="K74" s="39">
        <f t="shared" si="8"/>
        <v>617912.84</v>
      </c>
      <c r="L74" s="39">
        <f t="shared" si="18"/>
        <v>0</v>
      </c>
      <c r="M74" s="39">
        <f t="shared" si="14"/>
        <v>-5732787.220000002</v>
      </c>
      <c r="N74" s="39">
        <f t="shared" si="15"/>
        <v>0</v>
      </c>
      <c r="O74" s="34">
        <f t="shared" si="16"/>
        <v>3.449335076226885</v>
      </c>
      <c r="P74" s="34">
        <f t="shared" si="17"/>
        <v>1</v>
      </c>
      <c r="Q74" s="34">
        <f t="shared" si="19"/>
        <v>1</v>
      </c>
      <c r="R74" s="34">
        <f t="shared" si="13"/>
        <v>0.1317876039823456</v>
      </c>
    </row>
    <row r="75" spans="1:18" ht="18" customHeight="1">
      <c r="A75" s="153"/>
      <c r="B75" s="149"/>
      <c r="C75" s="22" t="s">
        <v>143</v>
      </c>
      <c r="D75" s="5" t="s">
        <v>74</v>
      </c>
      <c r="E75" s="19">
        <v>2125161.9299999997</v>
      </c>
      <c r="F75" s="1">
        <v>13564930.3</v>
      </c>
      <c r="G75" s="114">
        <v>2770512.52</v>
      </c>
      <c r="H75" s="19">
        <v>1069941.13</v>
      </c>
      <c r="I75" s="39">
        <v>2770512.52</v>
      </c>
      <c r="J75" s="39">
        <v>1069941.13</v>
      </c>
      <c r="K75" s="39">
        <f t="shared" si="8"/>
        <v>645350.5900000003</v>
      </c>
      <c r="L75" s="39">
        <f t="shared" si="18"/>
        <v>0</v>
      </c>
      <c r="M75" s="39">
        <f t="shared" si="14"/>
        <v>-10794417.780000001</v>
      </c>
      <c r="N75" s="39">
        <f t="shared" si="15"/>
        <v>0</v>
      </c>
      <c r="O75" s="34">
        <f t="shared" si="16"/>
        <v>1.3036712548299791</v>
      </c>
      <c r="P75" s="34">
        <f t="shared" si="17"/>
        <v>1</v>
      </c>
      <c r="Q75" s="34">
        <f t="shared" si="19"/>
        <v>1</v>
      </c>
      <c r="R75" s="34">
        <f t="shared" si="13"/>
        <v>0.20424082238004568</v>
      </c>
    </row>
    <row r="76" spans="1:18" ht="18" customHeight="1">
      <c r="A76" s="153"/>
      <c r="B76" s="149"/>
      <c r="C76" s="22" t="s">
        <v>144</v>
      </c>
      <c r="D76" s="93" t="s">
        <v>75</v>
      </c>
      <c r="E76" s="19">
        <v>1210900.99</v>
      </c>
      <c r="F76" s="1">
        <v>3049522.76</v>
      </c>
      <c r="G76" s="114">
        <v>1032880.5800000001</v>
      </c>
      <c r="H76" s="1">
        <v>352930.73</v>
      </c>
      <c r="I76" s="39">
        <v>1032937.54</v>
      </c>
      <c r="J76" s="39">
        <v>352987.69</v>
      </c>
      <c r="K76" s="39">
        <f t="shared" si="8"/>
        <v>-177963.44999999995</v>
      </c>
      <c r="L76" s="39">
        <f t="shared" si="18"/>
        <v>56.95999999996275</v>
      </c>
      <c r="M76" s="39">
        <f t="shared" si="14"/>
        <v>-2016585.2199999997</v>
      </c>
      <c r="N76" s="39">
        <f t="shared" si="15"/>
        <v>56.960000000020955</v>
      </c>
      <c r="O76" s="34">
        <f t="shared" si="16"/>
        <v>0.8530322037312068</v>
      </c>
      <c r="P76" s="34">
        <f t="shared" si="17"/>
        <v>1.0001613914435845</v>
      </c>
      <c r="Q76" s="34">
        <f t="shared" si="19"/>
        <v>1.0000551467431016</v>
      </c>
      <c r="R76" s="34">
        <f t="shared" si="13"/>
        <v>0.33872104630561933</v>
      </c>
    </row>
    <row r="77" spans="1:18" s="10" customFormat="1" ht="31.5">
      <c r="A77" s="153"/>
      <c r="B77" s="149"/>
      <c r="C77" s="119" t="s">
        <v>145</v>
      </c>
      <c r="D77" s="120" t="s">
        <v>91</v>
      </c>
      <c r="E77" s="19">
        <v>387.89</v>
      </c>
      <c r="F77" s="1"/>
      <c r="G77" s="114"/>
      <c r="H77" s="1"/>
      <c r="I77" s="39">
        <v>45.15</v>
      </c>
      <c r="J77" s="39">
        <v>0</v>
      </c>
      <c r="K77" s="39">
        <f t="shared" si="8"/>
        <v>-342.74</v>
      </c>
      <c r="L77" s="39">
        <f t="shared" si="18"/>
        <v>45.15</v>
      </c>
      <c r="M77" s="39">
        <f t="shared" si="14"/>
        <v>45.15</v>
      </c>
      <c r="N77" s="39">
        <f>J77-H77</f>
        <v>0</v>
      </c>
      <c r="O77" s="34">
        <f t="shared" si="16"/>
        <v>0.11639897909201062</v>
      </c>
      <c r="P77" s="34">
        <f t="shared" si="17"/>
      </c>
      <c r="Q77" s="34">
        <f t="shared" si="19"/>
      </c>
      <c r="R77" s="34">
        <f t="shared" si="13"/>
      </c>
    </row>
    <row r="78" spans="1:18" s="10" customFormat="1" ht="21" customHeight="1">
      <c r="A78" s="153"/>
      <c r="B78" s="149"/>
      <c r="C78" s="119" t="s">
        <v>146</v>
      </c>
      <c r="D78" s="122" t="s">
        <v>76</v>
      </c>
      <c r="E78" s="19">
        <v>85</v>
      </c>
      <c r="F78" s="1">
        <v>58676.62</v>
      </c>
      <c r="G78" s="134">
        <v>58676.62</v>
      </c>
      <c r="H78" s="136">
        <v>58676.62</v>
      </c>
      <c r="I78" s="39">
        <v>58676.62</v>
      </c>
      <c r="J78" s="39">
        <v>0</v>
      </c>
      <c r="K78" s="39">
        <f t="shared" si="8"/>
        <v>58591.62</v>
      </c>
      <c r="L78" s="39">
        <f t="shared" si="18"/>
        <v>0</v>
      </c>
      <c r="M78" s="39">
        <f t="shared" si="14"/>
        <v>0</v>
      </c>
      <c r="N78" s="39">
        <f t="shared" si="15"/>
        <v>-58676.62</v>
      </c>
      <c r="O78" s="34">
        <f t="shared" si="16"/>
        <v>690.3131764705882</v>
      </c>
      <c r="P78" s="34">
        <f t="shared" si="17"/>
        <v>0</v>
      </c>
      <c r="Q78" s="34">
        <f t="shared" si="19"/>
        <v>1</v>
      </c>
      <c r="R78" s="34">
        <f t="shared" si="13"/>
        <v>1</v>
      </c>
    </row>
    <row r="79" spans="1:18" s="125" customFormat="1" ht="47.25" customHeight="1">
      <c r="A79" s="154"/>
      <c r="B79" s="150"/>
      <c r="C79" s="119" t="s">
        <v>147</v>
      </c>
      <c r="D79" s="122" t="s">
        <v>93</v>
      </c>
      <c r="E79" s="128"/>
      <c r="F79" s="123"/>
      <c r="G79" s="134"/>
      <c r="H79" s="138"/>
      <c r="I79" s="39">
        <v>0</v>
      </c>
      <c r="J79" s="39">
        <v>0</v>
      </c>
      <c r="K79" s="39">
        <f t="shared" si="8"/>
        <v>0</v>
      </c>
      <c r="L79" s="39">
        <f t="shared" si="18"/>
        <v>0</v>
      </c>
      <c r="M79" s="39">
        <f t="shared" si="14"/>
        <v>0</v>
      </c>
      <c r="N79" s="39">
        <f t="shared" si="15"/>
        <v>0</v>
      </c>
      <c r="O79" s="34">
        <f t="shared" si="16"/>
      </c>
      <c r="P79" s="34">
        <f>_xlfn.IFERROR(J79/H80,"")</f>
        <v>0</v>
      </c>
      <c r="Q79" s="34">
        <f t="shared" si="19"/>
      </c>
      <c r="R79" s="124">
        <f t="shared" si="13"/>
      </c>
    </row>
    <row r="80" spans="1:18" s="10" customFormat="1" ht="34.5" customHeight="1">
      <c r="A80" s="153"/>
      <c r="B80" s="149"/>
      <c r="C80" s="119" t="s">
        <v>148</v>
      </c>
      <c r="D80" s="121" t="s">
        <v>77</v>
      </c>
      <c r="E80" s="19">
        <v>159705.94000000003</v>
      </c>
      <c r="F80" s="1">
        <v>12060.29</v>
      </c>
      <c r="G80" s="134">
        <v>12060.29</v>
      </c>
      <c r="H80" s="139">
        <v>12060.29</v>
      </c>
      <c r="I80" s="39">
        <v>97090.63</v>
      </c>
      <c r="J80" s="39">
        <v>-60013.75</v>
      </c>
      <c r="K80" s="39">
        <f t="shared" si="8"/>
        <v>-62615.31000000003</v>
      </c>
      <c r="L80" s="39">
        <f t="shared" si="18"/>
        <v>85030.34</v>
      </c>
      <c r="M80" s="39">
        <f t="shared" si="14"/>
        <v>85030.34</v>
      </c>
      <c r="N80" s="39">
        <f t="shared" si="15"/>
        <v>-72074.04000000001</v>
      </c>
      <c r="O80" s="34">
        <f t="shared" si="16"/>
        <v>0.6079337437292563</v>
      </c>
      <c r="P80" s="34">
        <f>_xlfn.IFERROR(J80/#REF!,"")</f>
      </c>
      <c r="Q80" s="34">
        <f t="shared" si="19"/>
        <v>8.050439085627294</v>
      </c>
      <c r="R80" s="34">
        <f t="shared" si="13"/>
        <v>8.050439085627294</v>
      </c>
    </row>
    <row r="81" spans="1:18" s="10" customFormat="1" ht="18" customHeight="1">
      <c r="A81" s="155"/>
      <c r="B81" s="151"/>
      <c r="C81" s="119" t="s">
        <v>149</v>
      </c>
      <c r="D81" s="121" t="s">
        <v>78</v>
      </c>
      <c r="E81" s="19">
        <v>-273215.58</v>
      </c>
      <c r="F81" s="1"/>
      <c r="G81" s="114"/>
      <c r="H81" s="1"/>
      <c r="I81" s="39">
        <v>-123955.27999999998</v>
      </c>
      <c r="J81" s="39">
        <v>208409.19999999998</v>
      </c>
      <c r="K81" s="39">
        <f t="shared" si="8"/>
        <v>149260.30000000005</v>
      </c>
      <c r="L81" s="39">
        <f t="shared" si="18"/>
        <v>-123955.27999999998</v>
      </c>
      <c r="M81" s="39">
        <f t="shared" si="14"/>
        <v>-123955.27999999998</v>
      </c>
      <c r="N81" s="39">
        <f t="shared" si="15"/>
        <v>208409.19999999998</v>
      </c>
      <c r="O81" s="34">
        <f t="shared" si="16"/>
        <v>0.4536903788576039</v>
      </c>
      <c r="P81" s="34">
        <f t="shared" si="17"/>
      </c>
      <c r="Q81" s="34">
        <f t="shared" si="19"/>
      </c>
      <c r="R81" s="34">
        <f t="shared" si="13"/>
      </c>
    </row>
    <row r="82" spans="1:18" s="56" customFormat="1" ht="29.25" customHeight="1">
      <c r="A82" s="140" t="s">
        <v>79</v>
      </c>
      <c r="B82" s="140"/>
      <c r="C82" s="141"/>
      <c r="D82" s="140"/>
      <c r="E82" s="54">
        <f>E71+E72</f>
        <v>6914966.523333333</v>
      </c>
      <c r="F82" s="54">
        <f>F71+F72</f>
        <v>53747246.92</v>
      </c>
      <c r="G82" s="54">
        <f>G71+G72</f>
        <v>10568696.84</v>
      </c>
      <c r="H82" s="54">
        <f>H71+H72</f>
        <v>4298288.7299999995</v>
      </c>
      <c r="I82" s="54">
        <f>I71+I72</f>
        <v>9450831.84</v>
      </c>
      <c r="J82" s="54">
        <f>J71+J72</f>
        <v>2965107.9</v>
      </c>
      <c r="K82" s="37">
        <f t="shared" si="8"/>
        <v>2535865.3166666664</v>
      </c>
      <c r="L82" s="37">
        <f t="shared" si="18"/>
        <v>-1117865</v>
      </c>
      <c r="M82" s="37">
        <f t="shared" si="14"/>
        <v>-44296415.08</v>
      </c>
      <c r="N82" s="37">
        <f t="shared" si="15"/>
        <v>-1333180.8299999996</v>
      </c>
      <c r="O82" s="35">
        <f t="shared" si="16"/>
        <v>1.366721271622912</v>
      </c>
      <c r="P82" s="35">
        <f>_xlfn.IFERROR(J82/H82,"")</f>
        <v>0.6898345100237137</v>
      </c>
      <c r="Q82" s="35">
        <f t="shared" si="19"/>
        <v>0.8942286814615452</v>
      </c>
      <c r="R82" s="35">
        <f t="shared" si="13"/>
        <v>0.1758384360424465</v>
      </c>
    </row>
    <row r="83" spans="1:18" ht="15.75">
      <c r="A83" s="6" t="s">
        <v>80</v>
      </c>
      <c r="B83" s="7"/>
      <c r="C83" s="28"/>
      <c r="D83" s="8"/>
      <c r="E83" s="9"/>
      <c r="F83" s="9"/>
      <c r="G83" s="9"/>
      <c r="H83" s="9"/>
      <c r="I83" s="65"/>
      <c r="J83" s="65"/>
      <c r="K83" s="48"/>
      <c r="L83" s="48"/>
      <c r="M83" s="9"/>
      <c r="N83" s="9"/>
      <c r="O83" s="9"/>
      <c r="P83" s="10"/>
      <c r="Q83" s="10"/>
      <c r="R83" s="10"/>
    </row>
    <row r="85" spans="5:12" ht="12.75">
      <c r="E85" s="50"/>
      <c r="I85" s="17"/>
      <c r="J85" s="17"/>
      <c r="K85" s="50"/>
      <c r="L85" s="50"/>
    </row>
    <row r="86" spans="9:12" ht="12.75">
      <c r="I86" s="17"/>
      <c r="J86" s="17"/>
      <c r="K86" s="50"/>
      <c r="L86" s="50"/>
    </row>
    <row r="87" spans="9:12" ht="12.75">
      <c r="I87" s="17"/>
      <c r="J87" s="17"/>
      <c r="K87" s="50"/>
      <c r="L87" s="50"/>
    </row>
    <row r="88" spans="6:12" ht="12.75">
      <c r="F88" s="17"/>
      <c r="I88" s="17"/>
      <c r="J88" s="17"/>
      <c r="K88" s="50"/>
      <c r="L88" s="50"/>
    </row>
    <row r="89" spans="6:12" ht="12.75">
      <c r="F89" s="17"/>
      <c r="I89" s="17"/>
      <c r="J89" s="17"/>
      <c r="K89" s="50"/>
      <c r="L89" s="50"/>
    </row>
    <row r="90" ht="12.75">
      <c r="F90" s="17"/>
    </row>
    <row r="91" ht="12.75">
      <c r="F91" s="17"/>
    </row>
    <row r="92" ht="12.75">
      <c r="F92" s="17"/>
    </row>
  </sheetData>
  <sheetProtection/>
  <autoFilter ref="A4:R86"/>
  <mergeCells count="37">
    <mergeCell ref="A26:A28"/>
    <mergeCell ref="B26:B28"/>
    <mergeCell ref="I3:J3"/>
    <mergeCell ref="M3:N3"/>
    <mergeCell ref="A22:A25"/>
    <mergeCell ref="B22:B25"/>
    <mergeCell ref="A6:A16"/>
    <mergeCell ref="A21:C21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1:R1"/>
    <mergeCell ref="A3:A4"/>
    <mergeCell ref="B3:B4"/>
    <mergeCell ref="C3:C4"/>
    <mergeCell ref="D3:D4"/>
    <mergeCell ref="F3:H3"/>
    <mergeCell ref="R3:R4"/>
    <mergeCell ref="P3:P4"/>
    <mergeCell ref="E3:E4"/>
    <mergeCell ref="O3:O4"/>
    <mergeCell ref="Q3:Q4"/>
    <mergeCell ref="A82:D82"/>
    <mergeCell ref="A62:A70"/>
    <mergeCell ref="B62:B70"/>
    <mergeCell ref="A71:D71"/>
    <mergeCell ref="B73:B81"/>
    <mergeCell ref="A73:A8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2024-03-22T09:55:08Z</cp:lastPrinted>
  <dcterms:created xsi:type="dcterms:W3CDTF">2015-02-26T11:08:47Z</dcterms:created>
  <dcterms:modified xsi:type="dcterms:W3CDTF">2024-03-28T10:23:57Z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